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o\Uni\Cinq Cases paper\Nach Geobiology\Geomicrobiology journal\Supplements\"/>
    </mc:Choice>
  </mc:AlternateContent>
  <xr:revisionPtr revIDLastSave="0" documentId="13_ncr:1_{E25CD6F9-B06D-43A6-9647-65AA6747D1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le 1" sheetId="1" r:id="rId1"/>
    <sheet name="table 2" sheetId="2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31" i="1"/>
  <c r="L30" i="1"/>
  <c r="L29" i="1"/>
  <c r="L28" i="1"/>
  <c r="L27" i="1"/>
  <c r="L25" i="1"/>
  <c r="L24" i="1"/>
  <c r="L23" i="1"/>
  <c r="L22" i="1"/>
  <c r="F42" i="3" l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F11" i="3"/>
  <c r="F42" i="2" l="1"/>
  <c r="F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W15" i="1" l="1"/>
  <c r="V15" i="1"/>
  <c r="U15" i="1"/>
  <c r="T15" i="1"/>
  <c r="S15" i="1"/>
  <c r="R15" i="1"/>
  <c r="Q15" i="1"/>
  <c r="P15" i="1"/>
  <c r="O15" i="1"/>
  <c r="W14" i="1"/>
  <c r="AG13" i="1" s="1"/>
  <c r="V14" i="1"/>
  <c r="U14" i="1"/>
  <c r="AE13" i="1" s="1"/>
  <c r="T14" i="1"/>
  <c r="S14" i="1"/>
  <c r="AC13" i="1" s="1"/>
  <c r="R14" i="1"/>
  <c r="Q14" i="1"/>
  <c r="AA13" i="1" s="1"/>
  <c r="P14" i="1"/>
  <c r="O14" i="1"/>
  <c r="W13" i="1"/>
  <c r="V13" i="1"/>
  <c r="AF12" i="1" s="1"/>
  <c r="U13" i="1"/>
  <c r="T13" i="1"/>
  <c r="AD12" i="1" s="1"/>
  <c r="S13" i="1"/>
  <c r="R13" i="1"/>
  <c r="AB12" i="1" s="1"/>
  <c r="Q13" i="1"/>
  <c r="P13" i="1"/>
  <c r="Z12" i="1" s="1"/>
  <c r="O13" i="1"/>
  <c r="W12" i="1"/>
  <c r="AG11" i="1" s="1"/>
  <c r="V12" i="1"/>
  <c r="U12" i="1"/>
  <c r="AE11" i="1" s="1"/>
  <c r="T12" i="1"/>
  <c r="S12" i="1"/>
  <c r="AC11" i="1" s="1"/>
  <c r="R12" i="1"/>
  <c r="Q12" i="1"/>
  <c r="AA11" i="1" s="1"/>
  <c r="P12" i="1"/>
  <c r="O12" i="1"/>
  <c r="W11" i="1"/>
  <c r="V11" i="1"/>
  <c r="AF10" i="1" s="1"/>
  <c r="U11" i="1"/>
  <c r="T11" i="1"/>
  <c r="AD10" i="1" s="1"/>
  <c r="S11" i="1"/>
  <c r="R11" i="1"/>
  <c r="AB10" i="1" s="1"/>
  <c r="Q11" i="1"/>
  <c r="P11" i="1"/>
  <c r="Z10" i="1" s="1"/>
  <c r="O11" i="1"/>
  <c r="W10" i="1"/>
  <c r="AG9" i="1" s="1"/>
  <c r="V10" i="1"/>
  <c r="U10" i="1"/>
  <c r="AE9" i="1" s="1"/>
  <c r="T10" i="1"/>
  <c r="S10" i="1"/>
  <c r="AC9" i="1" s="1"/>
  <c r="R10" i="1"/>
  <c r="Q10" i="1"/>
  <c r="AA9" i="1" s="1"/>
  <c r="P10" i="1"/>
  <c r="O10" i="1"/>
  <c r="W9" i="1"/>
  <c r="V9" i="1"/>
  <c r="AF8" i="1" s="1"/>
  <c r="U9" i="1"/>
  <c r="T9" i="1"/>
  <c r="AD8" i="1" s="1"/>
  <c r="S9" i="1"/>
  <c r="R9" i="1"/>
  <c r="AB8" i="1" s="1"/>
  <c r="Q9" i="1"/>
  <c r="P9" i="1"/>
  <c r="Z8" i="1" s="1"/>
  <c r="O9" i="1"/>
  <c r="W8" i="1"/>
  <c r="AG7" i="1" s="1"/>
  <c r="V8" i="1"/>
  <c r="U8" i="1"/>
  <c r="AE7" i="1" s="1"/>
  <c r="T8" i="1"/>
  <c r="S8" i="1"/>
  <c r="AC7" i="1" s="1"/>
  <c r="R8" i="1"/>
  <c r="Q8" i="1"/>
  <c r="AA7" i="1" s="1"/>
  <c r="P8" i="1"/>
  <c r="O8" i="1"/>
  <c r="W7" i="1"/>
  <c r="V7" i="1"/>
  <c r="AF6" i="1" s="1"/>
  <c r="U7" i="1"/>
  <c r="T7" i="1"/>
  <c r="AD6" i="1" s="1"/>
  <c r="S7" i="1"/>
  <c r="R7" i="1"/>
  <c r="AB6" i="1" s="1"/>
  <c r="Q7" i="1"/>
  <c r="P7" i="1"/>
  <c r="Z6" i="1" s="1"/>
  <c r="O7" i="1"/>
  <c r="W6" i="1"/>
  <c r="AG5" i="1" s="1"/>
  <c r="V6" i="1"/>
  <c r="U6" i="1"/>
  <c r="AE5" i="1" s="1"/>
  <c r="T6" i="1"/>
  <c r="S6" i="1"/>
  <c r="AC5" i="1" s="1"/>
  <c r="R6" i="1"/>
  <c r="Q6" i="1"/>
  <c r="AA5" i="1" s="1"/>
  <c r="P6" i="1"/>
  <c r="O6" i="1"/>
  <c r="W5" i="1"/>
  <c r="V5" i="1"/>
  <c r="U5" i="1"/>
  <c r="T5" i="1"/>
  <c r="S5" i="1"/>
  <c r="R5" i="1"/>
  <c r="Q5" i="1"/>
  <c r="P5" i="1"/>
  <c r="O5" i="1"/>
  <c r="AB5" i="1" l="1"/>
  <c r="AF5" i="1"/>
  <c r="AA6" i="1"/>
  <c r="AE6" i="1"/>
  <c r="Z7" i="1"/>
  <c r="AD7" i="1"/>
  <c r="AC8" i="1"/>
  <c r="AG8" i="1"/>
  <c r="AB9" i="1"/>
  <c r="AF9" i="1"/>
  <c r="AA10" i="1"/>
  <c r="AE10" i="1"/>
  <c r="Z11" i="1"/>
  <c r="AD11" i="1"/>
  <c r="AC12" i="1"/>
  <c r="AG12" i="1"/>
  <c r="AB13" i="1"/>
  <c r="AF13" i="1"/>
  <c r="AA15" i="1"/>
  <c r="AA14" i="1"/>
  <c r="AE15" i="1"/>
  <c r="AE14" i="1"/>
  <c r="AB15" i="1"/>
  <c r="AB14" i="1"/>
  <c r="AF15" i="1"/>
  <c r="AF14" i="1"/>
  <c r="Z5" i="1"/>
  <c r="AD5" i="1"/>
  <c r="AC6" i="1"/>
  <c r="AG6" i="1"/>
  <c r="AB7" i="1"/>
  <c r="AF7" i="1"/>
  <c r="AA8" i="1"/>
  <c r="AE8" i="1"/>
  <c r="Z9" i="1"/>
  <c r="AD9" i="1"/>
  <c r="AC10" i="1"/>
  <c r="AG10" i="1"/>
  <c r="AB11" i="1"/>
  <c r="AF11" i="1"/>
  <c r="AA12" i="1"/>
  <c r="AE12" i="1"/>
  <c r="Z13" i="1"/>
  <c r="AD13" i="1"/>
  <c r="AC15" i="1"/>
  <c r="AC14" i="1"/>
  <c r="AG15" i="1"/>
  <c r="AG14" i="1"/>
  <c r="Z15" i="1"/>
  <c r="Z14" i="1"/>
  <c r="AD15" i="1"/>
  <c r="AD14" i="1"/>
  <c r="AC37" i="1"/>
  <c r="Y37" i="1"/>
  <c r="AF37" i="1" l="1"/>
  <c r="E34" i="1" l="1"/>
  <c r="G34" i="1" s="1"/>
  <c r="J34" i="1" s="1"/>
  <c r="M34" i="1" s="1"/>
  <c r="E31" i="1"/>
  <c r="G31" i="1" s="1"/>
  <c r="J31" i="1" s="1"/>
  <c r="M31" i="1" s="1"/>
  <c r="E30" i="1"/>
  <c r="G30" i="1" s="1"/>
  <c r="J30" i="1" s="1"/>
  <c r="M30" i="1" s="1"/>
  <c r="E29" i="1"/>
  <c r="G29" i="1" s="1"/>
  <c r="J29" i="1" s="1"/>
  <c r="M29" i="1" s="1"/>
  <c r="E28" i="1"/>
  <c r="G28" i="1" s="1"/>
  <c r="J28" i="1" s="1"/>
  <c r="M28" i="1" s="1"/>
  <c r="E27" i="1"/>
  <c r="G27" i="1" s="1"/>
  <c r="J27" i="1" s="1"/>
  <c r="M27" i="1" s="1"/>
  <c r="E25" i="1"/>
  <c r="G25" i="1" s="1"/>
  <c r="J25" i="1" s="1"/>
  <c r="M25" i="1" s="1"/>
  <c r="E24" i="1"/>
  <c r="G24" i="1" s="1"/>
  <c r="J24" i="1" s="1"/>
  <c r="M24" i="1" s="1"/>
  <c r="E23" i="1"/>
  <c r="G23" i="1" s="1"/>
  <c r="J23" i="1" s="1"/>
  <c r="M23" i="1" s="1"/>
  <c r="E22" i="1"/>
  <c r="G22" i="1" s="1"/>
  <c r="J22" i="1" l="1"/>
  <c r="M22" i="1" s="1"/>
  <c r="N22" i="1" s="1"/>
  <c r="F12" i="3" l="1"/>
  <c r="D11" i="3" s="1"/>
  <c r="F13" i="3"/>
  <c r="D13" i="3" s="1"/>
  <c r="F14" i="3"/>
  <c r="D14" i="3" s="1"/>
  <c r="F15" i="3"/>
  <c r="F16" i="3"/>
  <c r="D16" i="3" s="1"/>
  <c r="F17" i="3"/>
  <c r="D17" i="3" s="1"/>
  <c r="F18" i="3"/>
  <c r="F19" i="3"/>
  <c r="D20" i="3"/>
  <c r="F20" i="3"/>
  <c r="F21" i="3"/>
  <c r="F22" i="3"/>
  <c r="F23" i="3"/>
  <c r="D23" i="3" s="1"/>
  <c r="D24" i="3"/>
  <c r="F24" i="3"/>
  <c r="F25" i="3"/>
  <c r="F26" i="3"/>
  <c r="F27" i="3"/>
  <c r="D27" i="3" s="1"/>
  <c r="F28" i="3"/>
  <c r="D28" i="3" s="1"/>
  <c r="F29" i="3"/>
  <c r="F30" i="3"/>
  <c r="D30" i="3" s="1"/>
  <c r="F31" i="3"/>
  <c r="F32" i="3"/>
  <c r="D32" i="3" s="1"/>
  <c r="F33" i="3"/>
  <c r="D33" i="3" s="1"/>
  <c r="F34" i="3"/>
  <c r="F35" i="3"/>
  <c r="F36" i="3"/>
  <c r="D36" i="3" s="1"/>
  <c r="F37" i="3"/>
  <c r="F38" i="3"/>
  <c r="F39" i="3"/>
  <c r="D39" i="3" s="1"/>
  <c r="D40" i="3"/>
  <c r="F40" i="3"/>
  <c r="F41" i="3"/>
  <c r="D41" i="3" s="1"/>
  <c r="D29" i="3" l="1"/>
  <c r="D26" i="3"/>
  <c r="D38" i="3"/>
  <c r="D35" i="3"/>
  <c r="D25" i="3"/>
  <c r="D22" i="3"/>
  <c r="D19" i="3"/>
  <c r="D37" i="3"/>
  <c r="D34" i="3"/>
  <c r="D31" i="3"/>
  <c r="D21" i="3"/>
  <c r="D18" i="3"/>
  <c r="D15" i="3"/>
  <c r="D12" i="3"/>
  <c r="D12" i="2"/>
  <c r="F12" i="2"/>
  <c r="D11" i="2" s="1"/>
  <c r="F13" i="2"/>
  <c r="D13" i="2" s="1"/>
  <c r="D14" i="2"/>
  <c r="F14" i="2"/>
  <c r="F15" i="2"/>
  <c r="D15" i="2" s="1"/>
  <c r="D16" i="2"/>
  <c r="F16" i="2"/>
  <c r="F17" i="2"/>
  <c r="D17" i="2" s="1"/>
  <c r="D18" i="2"/>
  <c r="F18" i="2"/>
  <c r="F19" i="2"/>
  <c r="D19" i="2" s="1"/>
  <c r="D20" i="2"/>
  <c r="F20" i="2"/>
  <c r="F21" i="2"/>
  <c r="D21" i="2" s="1"/>
  <c r="D22" i="2"/>
  <c r="F22" i="2"/>
  <c r="F23" i="2"/>
  <c r="D23" i="2" s="1"/>
  <c r="D24" i="2"/>
  <c r="F24" i="2"/>
  <c r="F25" i="2"/>
  <c r="D25" i="2" s="1"/>
  <c r="D26" i="2"/>
  <c r="F26" i="2"/>
  <c r="F27" i="2"/>
  <c r="D27" i="2" s="1"/>
  <c r="D28" i="2"/>
  <c r="F28" i="2"/>
  <c r="F29" i="2"/>
  <c r="D29" i="2" s="1"/>
  <c r="D30" i="2"/>
  <c r="F30" i="2"/>
  <c r="F31" i="2"/>
  <c r="D31" i="2" s="1"/>
  <c r="D32" i="2"/>
  <c r="F32" i="2"/>
  <c r="F33" i="2"/>
  <c r="D33" i="2" s="1"/>
  <c r="D34" i="2"/>
  <c r="F34" i="2"/>
  <c r="F35" i="2"/>
  <c r="D35" i="2" s="1"/>
  <c r="D36" i="2"/>
  <c r="F36" i="2"/>
  <c r="F37" i="2"/>
  <c r="D37" i="2" s="1"/>
  <c r="D38" i="2"/>
  <c r="F38" i="2"/>
  <c r="F39" i="2"/>
  <c r="D39" i="2" s="1"/>
  <c r="D40" i="2"/>
  <c r="F40" i="2"/>
  <c r="F41" i="2"/>
  <c r="D41" i="2" s="1"/>
</calcChain>
</file>

<file path=xl/sharedStrings.xml><?xml version="1.0" encoding="utf-8"?>
<sst xmlns="http://schemas.openxmlformats.org/spreadsheetml/2006/main" count="241" uniqueCount="97">
  <si>
    <t>CC_K04_01</t>
  </si>
  <si>
    <t>CC_K04_02</t>
  </si>
  <si>
    <t>CC_K04_03</t>
  </si>
  <si>
    <t>CC_K04_04</t>
  </si>
  <si>
    <t>CC_K04_05</t>
  </si>
  <si>
    <t>CC_K04_06</t>
  </si>
  <si>
    <t>CC_K04_07</t>
  </si>
  <si>
    <t>CC_K04_08</t>
  </si>
  <si>
    <t>CC_K04_09</t>
  </si>
  <si>
    <t>CC_K04_10</t>
  </si>
  <si>
    <t>Salinity</t>
  </si>
  <si>
    <r>
      <t>g kg</t>
    </r>
    <r>
      <rPr>
        <vertAlign val="superscript"/>
        <sz val="8"/>
        <color rgb="FF0000FF"/>
        <rFont val="Arial"/>
        <family val="2"/>
      </rPr>
      <t>-1</t>
    </r>
  </si>
  <si>
    <t>Sample ID</t>
  </si>
  <si>
    <t>Depth</t>
  </si>
  <si>
    <t>cm</t>
  </si>
  <si>
    <t>Ca</t>
  </si>
  <si>
    <t>Mg</t>
  </si>
  <si>
    <t>Na</t>
  </si>
  <si>
    <t>K</t>
  </si>
  <si>
    <r>
      <t>mmol kg</t>
    </r>
    <r>
      <rPr>
        <vertAlign val="superscript"/>
        <sz val="8"/>
        <color indexed="12"/>
        <rFont val="Arial"/>
        <family val="2"/>
      </rPr>
      <t>-1</t>
    </r>
  </si>
  <si>
    <t>DIC</t>
  </si>
  <si>
    <t>PhreeqC</t>
  </si>
  <si>
    <t>TA</t>
  </si>
  <si>
    <t>Cl</t>
  </si>
  <si>
    <r>
      <t>SO</t>
    </r>
    <r>
      <rPr>
        <vertAlign val="subscript"/>
        <sz val="8"/>
        <color indexed="12"/>
        <rFont val="Arial"/>
        <family val="2"/>
      </rPr>
      <t>4</t>
    </r>
  </si>
  <si>
    <t>ALD_CC_02</t>
  </si>
  <si>
    <t>Boudreau,1997</t>
  </si>
  <si>
    <r>
      <t>D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>=(m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>+m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*t)</t>
    </r>
  </si>
  <si>
    <r>
      <t>D</t>
    </r>
    <r>
      <rPr>
        <vertAlign val="superscript"/>
        <sz val="8"/>
        <rFont val="Arial"/>
        <family val="2"/>
      </rPr>
      <t>sw</t>
    </r>
  </si>
  <si>
    <t>in</t>
  </si>
  <si>
    <r>
      <t>10</t>
    </r>
    <r>
      <rPr>
        <vertAlign val="superscript"/>
        <sz val="8"/>
        <rFont val="Arial"/>
        <family val="2"/>
      </rPr>
      <t>-10</t>
    </r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</t>
    </r>
    <r>
      <rPr>
        <vertAlign val="superscript"/>
        <sz val="8"/>
        <rFont val="Arial"/>
        <family val="2"/>
      </rPr>
      <t>-1</t>
    </r>
  </si>
  <si>
    <t>mo</t>
  </si>
  <si>
    <t>m1</t>
  </si>
  <si>
    <t>t (°C)</t>
  </si>
  <si>
    <r>
      <t>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>cm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</t>
    </r>
    <r>
      <rPr>
        <vertAlign val="superscript"/>
        <sz val="8"/>
        <rFont val="Arial"/>
        <family val="2"/>
      </rPr>
      <t>-1</t>
    </r>
  </si>
  <si>
    <t>0 °C</t>
  </si>
  <si>
    <t>5°C</t>
  </si>
  <si>
    <t>10°C</t>
  </si>
  <si>
    <t>SO4</t>
  </si>
  <si>
    <t>HCO3</t>
  </si>
  <si>
    <t>CO3</t>
  </si>
  <si>
    <t>NH4</t>
  </si>
  <si>
    <t>Si</t>
  </si>
  <si>
    <t>H4SiO4</t>
  </si>
  <si>
    <t>PO4</t>
  </si>
  <si>
    <t>O2</t>
  </si>
  <si>
    <r>
      <t>µ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>/µ</t>
    </r>
    <r>
      <rPr>
        <vertAlign val="subscript"/>
        <sz val="8"/>
        <rFont val="Arial"/>
        <family val="2"/>
      </rPr>
      <t>sw</t>
    </r>
  </si>
  <si>
    <t>Φ</t>
  </si>
  <si>
    <r>
      <t>D</t>
    </r>
    <r>
      <rPr>
        <vertAlign val="superscript"/>
        <sz val="8"/>
        <color indexed="8"/>
        <rFont val="Arial"/>
        <family val="2"/>
      </rPr>
      <t xml:space="preserve">0 </t>
    </r>
    <r>
      <rPr>
        <sz val="8"/>
        <color indexed="8"/>
        <rFont val="Arial"/>
        <family val="2"/>
      </rPr>
      <t>= (m</t>
    </r>
    <r>
      <rPr>
        <vertAlign val="subscript"/>
        <sz val="8"/>
        <color indexed="8"/>
        <rFont val="Arial"/>
        <family val="2"/>
      </rPr>
      <t>0</t>
    </r>
    <r>
      <rPr>
        <sz val="8"/>
        <color indexed="8"/>
        <rFont val="Arial"/>
        <family val="2"/>
      </rPr>
      <t>+m</t>
    </r>
    <r>
      <rPr>
        <vertAlign val="sub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*t)</t>
    </r>
  </si>
  <si>
    <t xml:space="preserve">  Boudreau,1997</t>
  </si>
  <si>
    <r>
      <t>θ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= 1 – ln (</t>
    </r>
    <r>
      <rPr>
        <i/>
        <sz val="8"/>
        <color indexed="8"/>
        <rFont val="Arial"/>
        <family val="2"/>
      </rPr>
      <t>Φ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     (Boudreau, 1997)</t>
    </r>
  </si>
  <si>
    <r>
      <t>D</t>
    </r>
    <r>
      <rPr>
        <vertAlign val="subscript"/>
        <sz val="8"/>
        <color indexed="8"/>
        <rFont val="Arial"/>
        <family val="2"/>
      </rPr>
      <t>sed</t>
    </r>
    <r>
      <rPr>
        <sz val="8"/>
        <color indexed="8"/>
        <rFont val="Arial"/>
        <family val="2"/>
      </rPr>
      <t xml:space="preserve"> =  </t>
    </r>
    <r>
      <rPr>
        <i/>
        <sz val="8"/>
        <color indexed="8"/>
        <rFont val="Arial"/>
        <family val="2"/>
      </rPr>
      <t>D</t>
    </r>
    <r>
      <rPr>
        <vertAlign val="superscript"/>
        <sz val="8"/>
        <color indexed="8"/>
        <rFont val="Arial"/>
        <family val="2"/>
      </rPr>
      <t>0</t>
    </r>
    <r>
      <rPr>
        <sz val="8"/>
        <color indexed="8"/>
        <rFont val="Arial"/>
        <family val="2"/>
      </rPr>
      <t xml:space="preserve"> / </t>
    </r>
    <r>
      <rPr>
        <i/>
        <sz val="8"/>
        <color indexed="8"/>
        <rFont val="Arial"/>
        <family val="2"/>
      </rPr>
      <t>θ</t>
    </r>
    <r>
      <rPr>
        <vertAlign val="superscript"/>
        <sz val="8"/>
        <color indexed="8"/>
        <rFont val="Arial"/>
        <family val="2"/>
      </rPr>
      <t>2</t>
    </r>
  </si>
  <si>
    <r>
      <t>D</t>
    </r>
    <r>
      <rPr>
        <vertAlign val="superscript"/>
        <sz val="8"/>
        <color indexed="8"/>
        <rFont val="Arial"/>
        <family val="2"/>
      </rPr>
      <t xml:space="preserve">0 </t>
    </r>
    <r>
      <rPr>
        <sz val="8"/>
        <color indexed="8"/>
        <rFont val="Arial"/>
        <family val="2"/>
      </rPr>
      <t>(t=3.5°C)</t>
    </r>
  </si>
  <si>
    <r>
      <t>10</t>
    </r>
    <r>
      <rPr>
        <vertAlign val="superscript"/>
        <sz val="8"/>
        <color indexed="8"/>
        <rFont val="Arial"/>
        <family val="2"/>
      </rPr>
      <t>-6</t>
    </r>
    <r>
      <rPr>
        <sz val="8"/>
        <color indexed="8"/>
        <rFont val="Arial"/>
        <family val="2"/>
      </rPr>
      <t>cm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</t>
    </r>
    <r>
      <rPr>
        <vertAlign val="superscript"/>
        <sz val="8"/>
        <color indexed="8"/>
        <rFont val="Arial"/>
        <family val="2"/>
      </rPr>
      <t>-1</t>
    </r>
  </si>
  <si>
    <r>
      <t>θ</t>
    </r>
    <r>
      <rPr>
        <vertAlign val="superscript"/>
        <sz val="8"/>
        <color indexed="8"/>
        <rFont val="Arial"/>
        <family val="2"/>
      </rPr>
      <t>2</t>
    </r>
  </si>
  <si>
    <t>Dsed</t>
  </si>
  <si>
    <t>Dens20</t>
  </si>
  <si>
    <r>
      <t>kg L</t>
    </r>
    <r>
      <rPr>
        <vertAlign val="superscript"/>
        <sz val="8"/>
        <color indexed="12"/>
        <rFont val="Arial"/>
        <family val="2"/>
      </rPr>
      <t>-1</t>
    </r>
  </si>
  <si>
    <t>Dens25</t>
  </si>
  <si>
    <r>
      <t>mmol L</t>
    </r>
    <r>
      <rPr>
        <vertAlign val="superscript"/>
        <sz val="8"/>
        <color indexed="12"/>
        <rFont val="Arial"/>
        <family val="2"/>
      </rPr>
      <t>-1</t>
    </r>
  </si>
  <si>
    <r>
      <t>g L</t>
    </r>
    <r>
      <rPr>
        <vertAlign val="superscript"/>
        <sz val="8"/>
        <color rgb="FF0000FF"/>
        <rFont val="Arial"/>
        <family val="2"/>
      </rPr>
      <t>-1</t>
    </r>
  </si>
  <si>
    <t>25°C</t>
  </si>
  <si>
    <r>
      <t>cm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d</t>
    </r>
    <r>
      <rPr>
        <vertAlign val="superscript"/>
        <sz val="8"/>
        <rFont val="Arial"/>
        <family val="2"/>
      </rPr>
      <t>-1</t>
    </r>
  </si>
  <si>
    <r>
      <t>µmol cm</t>
    </r>
    <r>
      <rPr>
        <vertAlign val="superscript"/>
        <sz val="8"/>
        <color indexed="12"/>
        <rFont val="Arial"/>
        <family val="2"/>
      </rPr>
      <t>-2</t>
    </r>
    <r>
      <rPr>
        <sz val="8"/>
        <color indexed="12"/>
        <rFont val="Arial"/>
        <family val="2"/>
      </rPr>
      <t xml:space="preserve"> d</t>
    </r>
    <r>
      <rPr>
        <vertAlign val="superscript"/>
        <sz val="8"/>
        <color indexed="12"/>
        <rFont val="Arial"/>
        <family val="2"/>
      </rPr>
      <t>-1</t>
    </r>
  </si>
  <si>
    <r>
      <t>µmol cm</t>
    </r>
    <r>
      <rPr>
        <vertAlign val="superscript"/>
        <sz val="8"/>
        <color indexed="12"/>
        <rFont val="Arial"/>
        <family val="2"/>
      </rPr>
      <t>-3</t>
    </r>
  </si>
  <si>
    <t>Model diffusion Chlorid</t>
  </si>
  <si>
    <t>switch</t>
  </si>
  <si>
    <t>dx (cm)</t>
  </si>
  <si>
    <t>Ds</t>
  </si>
  <si>
    <t>C0 mmol/l</t>
  </si>
  <si>
    <t>Cb mmol/l</t>
  </si>
  <si>
    <t>flux</t>
  </si>
  <si>
    <r>
      <t>cm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h</t>
    </r>
    <r>
      <rPr>
        <vertAlign val="superscript"/>
        <sz val="8"/>
        <rFont val="Arial"/>
        <family val="2"/>
      </rPr>
      <t>-1</t>
    </r>
  </si>
  <si>
    <r>
      <t>µmol cm</t>
    </r>
    <r>
      <rPr>
        <vertAlign val="superscript"/>
        <sz val="8"/>
        <rFont val="Arial"/>
        <family val="2"/>
      </rPr>
      <t>-2</t>
    </r>
    <r>
      <rPr>
        <sz val="8"/>
        <rFont val="Arial"/>
        <family val="2"/>
      </rPr>
      <t xml:space="preserve"> h</t>
    </r>
    <r>
      <rPr>
        <vertAlign val="superscript"/>
        <sz val="8"/>
        <rFont val="Arial"/>
        <family val="2"/>
      </rPr>
      <t>-1</t>
    </r>
  </si>
  <si>
    <t>dt(h)</t>
  </si>
  <si>
    <t xml:space="preserve">Model diffusion Chlorid, 20°C, Porosity 0.6, </t>
  </si>
  <si>
    <t>Result:</t>
  </si>
  <si>
    <t>~100-110 h</t>
  </si>
  <si>
    <t xml:space="preserve">Model diffusion Chlorid, 25°C, Porosity 0.8, </t>
  </si>
  <si>
    <t>~50-55 h</t>
  </si>
  <si>
    <t>at t (°C)</t>
  </si>
  <si>
    <r>
      <t>D</t>
    </r>
    <r>
      <rPr>
        <vertAlign val="subscript"/>
        <sz val="8"/>
        <color indexed="8"/>
        <rFont val="Arial"/>
        <family val="2"/>
      </rPr>
      <t>sed</t>
    </r>
    <r>
      <rPr>
        <sz val="8"/>
        <color indexed="8"/>
        <rFont val="Arial"/>
        <family val="2"/>
      </rPr>
      <t/>
    </r>
  </si>
  <si>
    <t>for model</t>
  </si>
  <si>
    <r>
      <t>D</t>
    </r>
    <r>
      <rPr>
        <vertAlign val="superscript"/>
        <sz val="8"/>
        <rFont val="Arial"/>
        <family val="2"/>
      </rPr>
      <t xml:space="preserve">0 </t>
    </r>
    <r>
      <rPr>
        <sz val="8"/>
        <rFont val="Arial"/>
        <family val="2"/>
      </rPr>
      <t>(t)</t>
    </r>
  </si>
  <si>
    <r>
      <t>10</t>
    </r>
    <r>
      <rPr>
        <vertAlign val="superscript"/>
        <sz val="8"/>
        <color theme="5"/>
        <rFont val="Arial"/>
        <family val="2"/>
      </rPr>
      <t>-6</t>
    </r>
    <r>
      <rPr>
        <sz val="8"/>
        <color theme="5"/>
        <rFont val="Arial"/>
        <family val="2"/>
      </rPr>
      <t>cm</t>
    </r>
    <r>
      <rPr>
        <vertAlign val="superscript"/>
        <sz val="8"/>
        <color theme="5"/>
        <rFont val="Arial"/>
        <family val="2"/>
      </rPr>
      <t>2</t>
    </r>
    <r>
      <rPr>
        <sz val="8"/>
        <color theme="5"/>
        <rFont val="Arial"/>
        <family val="2"/>
      </rPr>
      <t>s</t>
    </r>
    <r>
      <rPr>
        <vertAlign val="superscript"/>
        <sz val="8"/>
        <color theme="5"/>
        <rFont val="Arial"/>
        <family val="2"/>
      </rPr>
      <t>-1</t>
    </r>
  </si>
  <si>
    <r>
      <t>D</t>
    </r>
    <r>
      <rPr>
        <vertAlign val="subscript"/>
        <sz val="8"/>
        <rFont val="Arial"/>
        <family val="2"/>
      </rPr>
      <t>sw</t>
    </r>
    <r>
      <rPr>
        <sz val="8"/>
        <rFont val="Arial"/>
        <family val="2"/>
      </rPr>
      <t>=D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*(µ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>/µ</t>
    </r>
    <r>
      <rPr>
        <vertAlign val="subscript"/>
        <sz val="8"/>
        <rFont val="Arial"/>
        <family val="2"/>
      </rPr>
      <t>sw</t>
    </r>
    <r>
      <rPr>
        <sz val="8"/>
        <rFont val="Arial"/>
        <family val="2"/>
      </rPr>
      <t>)</t>
    </r>
  </si>
  <si>
    <r>
      <t>D</t>
    </r>
    <r>
      <rPr>
        <vertAlign val="superscript"/>
        <sz val="8"/>
        <rFont val="Arial"/>
        <family val="2"/>
      </rPr>
      <t>0</t>
    </r>
    <r>
      <rPr>
        <vertAlign val="subscript"/>
        <sz val="8"/>
        <rFont val="Arial"/>
        <family val="2"/>
      </rPr>
      <t>SW</t>
    </r>
  </si>
  <si>
    <r>
      <t>µ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>/µ</t>
    </r>
    <r>
      <rPr>
        <vertAlign val="subscript"/>
        <sz val="8"/>
        <rFont val="Arial"/>
        <family val="2"/>
      </rPr>
      <t>sw</t>
    </r>
    <r>
      <rPr>
        <sz val="8"/>
        <rFont val="Arial"/>
        <family val="2"/>
      </rPr>
      <t xml:space="preserve"> at t</t>
    </r>
  </si>
  <si>
    <r>
      <t>D</t>
    </r>
    <r>
      <rPr>
        <vertAlign val="superscript"/>
        <sz val="8"/>
        <rFont val="Arial"/>
        <family val="2"/>
      </rPr>
      <t>0</t>
    </r>
  </si>
  <si>
    <t>Porosity</t>
  </si>
  <si>
    <t>Tortuosity</t>
  </si>
  <si>
    <t>correction of ambient temperature</t>
  </si>
  <si>
    <r>
      <t>D</t>
    </r>
    <r>
      <rPr>
        <b/>
        <vertAlign val="superscript"/>
        <sz val="8"/>
        <color indexed="8"/>
        <rFont val="Arial"/>
        <family val="2"/>
      </rPr>
      <t>0</t>
    </r>
    <r>
      <rPr>
        <b/>
        <sz val="8"/>
        <color indexed="8"/>
        <rFont val="Arial"/>
        <family val="2"/>
      </rPr>
      <t xml:space="preserve"> correction of temperature</t>
    </r>
  </si>
  <si>
    <t>Example</t>
  </si>
  <si>
    <r>
      <t xml:space="preserve">Dsed </t>
    </r>
    <r>
      <rPr>
        <sz val="8"/>
        <color indexed="8"/>
        <rFont val="Arial"/>
        <family val="2"/>
      </rPr>
      <t>diffusion coefficient</t>
    </r>
  </si>
  <si>
    <t>SW-salt water correction</t>
  </si>
  <si>
    <t>compare with Schulz and Zabel,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</si>
</sst>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E+00"/>
    <numFmt numFmtId="167" formatCode="0.0000000"/>
    <numFmt numFmtId="168" formatCode="0.00000"/>
    <numFmt numFmtId="169" formatCode="0.0000"/>
    <numFmt numFmtId="170" formatCode="0.000000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vertAlign val="superscript"/>
      <sz val="8"/>
      <color rgb="FF0000FF"/>
      <name val="Arial"/>
      <family val="2"/>
    </font>
    <font>
      <sz val="8"/>
      <name val="Arial"/>
      <family val="2"/>
    </font>
    <font>
      <vertAlign val="superscript"/>
      <sz val="8"/>
      <color indexed="12"/>
      <name val="Arial"/>
      <family val="2"/>
    </font>
    <font>
      <vertAlign val="subscript"/>
      <sz val="8"/>
      <color indexed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color rgb="FFFF0000"/>
      <name val="Arial"/>
      <family val="2"/>
    </font>
    <font>
      <strike/>
      <sz val="8"/>
      <color theme="1"/>
      <name val="Arial"/>
      <family val="2"/>
    </font>
    <font>
      <sz val="8"/>
      <color theme="5"/>
      <name val="Arial"/>
      <family val="2"/>
    </font>
    <font>
      <vertAlign val="superscript"/>
      <sz val="8"/>
      <color theme="5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6">
    <xf numFmtId="0" fontId="0" fillId="0" borderId="0" xfId="0"/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2" fontId="1" fillId="0" borderId="0" xfId="0" applyNumberFormat="1" applyFont="1"/>
    <xf numFmtId="1" fontId="1" fillId="0" borderId="0" xfId="0" applyNumberFormat="1" applyFont="1"/>
    <xf numFmtId="2" fontId="4" fillId="0" borderId="0" xfId="1" applyNumberFormat="1" applyFont="1" applyFill="1"/>
    <xf numFmtId="0" fontId="4" fillId="0" borderId="0" xfId="0" applyFont="1" applyFill="1"/>
    <xf numFmtId="2" fontId="4" fillId="0" borderId="0" xfId="1" applyNumberFormat="1" applyFont="1" applyFill="1" applyAlignment="1">
      <alignment horizontal="right"/>
    </xf>
    <xf numFmtId="0" fontId="4" fillId="0" borderId="0" xfId="1" applyFont="1" applyFill="1"/>
    <xf numFmtId="0" fontId="1" fillId="0" borderId="0" xfId="0" applyFont="1"/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11" fontId="12" fillId="0" borderId="0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vertical="center"/>
    </xf>
    <xf numFmtId="169" fontId="17" fillId="0" borderId="0" xfId="1" applyNumberFormat="1" applyFont="1" applyFill="1" applyBorder="1" applyAlignment="1">
      <alignment vertical="center"/>
    </xf>
    <xf numFmtId="169" fontId="13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0" fontId="4" fillId="0" borderId="0" xfId="1" applyNumberFormat="1" applyFont="1" applyFill="1" applyBorder="1" applyAlignment="1">
      <alignment vertical="center"/>
    </xf>
    <xf numFmtId="11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2" fontId="13" fillId="0" borderId="1" xfId="1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2" fontId="13" fillId="0" borderId="4" xfId="1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2" fontId="12" fillId="0" borderId="6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2" fontId="12" fillId="0" borderId="6" xfId="1" applyNumberFormat="1" applyFont="1" applyFill="1" applyBorder="1" applyAlignment="1">
      <alignment horizontal="right" vertical="center"/>
    </xf>
    <xf numFmtId="169" fontId="17" fillId="0" borderId="7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165" fontId="17" fillId="0" borderId="6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vertical="center"/>
    </xf>
    <xf numFmtId="0" fontId="7" fillId="0" borderId="0" xfId="0" applyFont="1" applyBorder="1"/>
    <xf numFmtId="2" fontId="4" fillId="0" borderId="0" xfId="0" applyNumberFormat="1" applyFont="1" applyFill="1" applyBorder="1" applyAlignment="1">
      <alignment horizontal="right" vertical="center"/>
    </xf>
    <xf numFmtId="170" fontId="17" fillId="0" borderId="0" xfId="1" applyNumberFormat="1" applyFont="1" applyFill="1" applyBorder="1" applyAlignment="1">
      <alignment vertical="center"/>
    </xf>
    <xf numFmtId="2" fontId="17" fillId="0" borderId="0" xfId="1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2" fontId="4" fillId="0" borderId="0" xfId="1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1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2" fontId="20" fillId="0" borderId="0" xfId="0" applyNumberFormat="1" applyFont="1" applyAlignment="1">
      <alignment vertical="center"/>
    </xf>
    <xf numFmtId="2" fontId="4" fillId="0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9" fontId="4" fillId="0" borderId="0" xfId="0" applyNumberFormat="1" applyFont="1" applyFill="1"/>
    <xf numFmtId="2" fontId="4" fillId="0" borderId="0" xfId="1" applyNumberFormat="1" applyFont="1" applyFill="1" applyAlignment="1">
      <alignment horizontal="left" vertical="center"/>
    </xf>
    <xf numFmtId="165" fontId="4" fillId="0" borderId="0" xfId="1" applyNumberFormat="1" applyFont="1" applyFill="1" applyBorder="1" applyAlignment="1">
      <alignment horizontal="right" vertical="center"/>
    </xf>
    <xf numFmtId="0" fontId="22" fillId="2" borderId="0" xfId="1" applyFont="1" applyFill="1" applyAlignment="1">
      <alignment vertical="center"/>
    </xf>
    <xf numFmtId="2" fontId="22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2" fontId="22" fillId="2" borderId="0" xfId="1" applyNumberFormat="1" applyFont="1" applyFill="1" applyAlignment="1">
      <alignment vertical="center"/>
    </xf>
    <xf numFmtId="164" fontId="22" fillId="2" borderId="0" xfId="1" applyNumberFormat="1" applyFont="1" applyFill="1" applyAlignment="1">
      <alignment vertical="center"/>
    </xf>
    <xf numFmtId="165" fontId="22" fillId="2" borderId="0" xfId="1" applyNumberFormat="1" applyFont="1" applyFill="1" applyAlignment="1">
      <alignment vertical="center"/>
    </xf>
    <xf numFmtId="2" fontId="17" fillId="2" borderId="0" xfId="0" applyNumberFormat="1" applyFont="1" applyFill="1" applyAlignment="1">
      <alignment vertical="center"/>
    </xf>
    <xf numFmtId="168" fontId="17" fillId="2" borderId="0" xfId="1" applyNumberFormat="1" applyFont="1" applyFill="1" applyAlignment="1">
      <alignment vertical="center"/>
    </xf>
    <xf numFmtId="169" fontId="4" fillId="2" borderId="0" xfId="0" applyNumberFormat="1" applyFont="1" applyFill="1"/>
    <xf numFmtId="2" fontId="21" fillId="3" borderId="0" xfId="0" applyNumberFormat="1" applyFont="1" applyFill="1" applyAlignment="1">
      <alignment vertical="center"/>
    </xf>
    <xf numFmtId="0" fontId="24" fillId="4" borderId="0" xfId="0" applyFont="1" applyFill="1" applyAlignment="1">
      <alignment horizontal="center"/>
    </xf>
    <xf numFmtId="164" fontId="4" fillId="4" borderId="9" xfId="0" applyNumberFormat="1" applyFont="1" applyFill="1" applyBorder="1" applyAlignment="1">
      <alignment horizontal="right"/>
    </xf>
    <xf numFmtId="0" fontId="1" fillId="4" borderId="9" xfId="0" applyFont="1" applyFill="1" applyBorder="1"/>
    <xf numFmtId="11" fontId="1" fillId="4" borderId="9" xfId="0" applyNumberFormat="1" applyFont="1" applyFill="1" applyBorder="1"/>
    <xf numFmtId="164" fontId="1" fillId="4" borderId="9" xfId="0" applyNumberFormat="1" applyFont="1" applyFill="1" applyBorder="1"/>
    <xf numFmtId="2" fontId="1" fillId="4" borderId="9" xfId="0" applyNumberFormat="1" applyFont="1" applyFill="1" applyBorder="1"/>
    <xf numFmtId="0" fontId="1" fillId="5" borderId="9" xfId="0" applyFont="1" applyFill="1" applyBorder="1"/>
    <xf numFmtId="0" fontId="14" fillId="5" borderId="9" xfId="1" applyFont="1" applyFill="1" applyBorder="1" applyAlignment="1">
      <alignment horizontal="center" vertical="center"/>
    </xf>
    <xf numFmtId="2" fontId="4" fillId="5" borderId="9" xfId="1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right"/>
    </xf>
    <xf numFmtId="168" fontId="4" fillId="5" borderId="9" xfId="1" applyNumberFormat="1" applyFont="1" applyFill="1" applyBorder="1" applyAlignment="1">
      <alignment vertical="center"/>
    </xf>
    <xf numFmtId="2" fontId="1" fillId="5" borderId="9" xfId="0" applyNumberFormat="1" applyFont="1" applyFill="1" applyBorder="1"/>
    <xf numFmtId="0" fontId="24" fillId="0" borderId="0" xfId="0" applyFont="1"/>
  </cellXfs>
  <cellStyles count="2">
    <cellStyle name="normal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61220356265"/>
          <c:y val="5.7944017780767312E-2"/>
          <c:w val="0.57851375849996423"/>
          <c:h val="0.78878630656399362"/>
        </c:manualLayout>
      </c:layout>
      <c:scatterChart>
        <c:scatterStyle val="lineMarker"/>
        <c:varyColors val="0"/>
        <c:ser>
          <c:idx val="0"/>
          <c:order val="0"/>
          <c:tx>
            <c:v>model data</c:v>
          </c:tx>
          <c:spPr>
            <a:ln w="1905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</c:spPr>
          </c:marker>
          <c:xVal>
            <c:numRef>
              <c:f>'table 2'!$F$11:$F$42</c:f>
              <c:numCache>
                <c:formatCode>0.00</c:formatCode>
                <c:ptCount val="32"/>
                <c:pt idx="0" formatCode="General">
                  <c:v>725</c:v>
                </c:pt>
                <c:pt idx="1">
                  <c:v>1355</c:v>
                </c:pt>
                <c:pt idx="2">
                  <c:v>1355</c:v>
                </c:pt>
                <c:pt idx="3">
                  <c:v>1355</c:v>
                </c:pt>
                <c:pt idx="4">
                  <c:v>1355</c:v>
                </c:pt>
                <c:pt idx="5">
                  <c:v>1355</c:v>
                </c:pt>
                <c:pt idx="6">
                  <c:v>1355</c:v>
                </c:pt>
                <c:pt idx="7">
                  <c:v>1355</c:v>
                </c:pt>
                <c:pt idx="8">
                  <c:v>1355</c:v>
                </c:pt>
                <c:pt idx="9">
                  <c:v>1355</c:v>
                </c:pt>
                <c:pt idx="10">
                  <c:v>1355</c:v>
                </c:pt>
                <c:pt idx="11">
                  <c:v>1355</c:v>
                </c:pt>
                <c:pt idx="12">
                  <c:v>1355</c:v>
                </c:pt>
                <c:pt idx="13">
                  <c:v>1355</c:v>
                </c:pt>
                <c:pt idx="14">
                  <c:v>1355</c:v>
                </c:pt>
                <c:pt idx="15">
                  <c:v>1355</c:v>
                </c:pt>
                <c:pt idx="16">
                  <c:v>1355</c:v>
                </c:pt>
                <c:pt idx="17">
                  <c:v>1355</c:v>
                </c:pt>
                <c:pt idx="18">
                  <c:v>1355</c:v>
                </c:pt>
                <c:pt idx="19">
                  <c:v>1355</c:v>
                </c:pt>
                <c:pt idx="20">
                  <c:v>1355</c:v>
                </c:pt>
                <c:pt idx="21">
                  <c:v>1355</c:v>
                </c:pt>
                <c:pt idx="22">
                  <c:v>1355</c:v>
                </c:pt>
                <c:pt idx="23">
                  <c:v>1355</c:v>
                </c:pt>
                <c:pt idx="24">
                  <c:v>1355</c:v>
                </c:pt>
                <c:pt idx="25">
                  <c:v>1355</c:v>
                </c:pt>
                <c:pt idx="26">
                  <c:v>1355</c:v>
                </c:pt>
                <c:pt idx="27">
                  <c:v>1355</c:v>
                </c:pt>
                <c:pt idx="28">
                  <c:v>1355</c:v>
                </c:pt>
                <c:pt idx="29">
                  <c:v>1355</c:v>
                </c:pt>
                <c:pt idx="30">
                  <c:v>1355</c:v>
                </c:pt>
                <c:pt idx="31">
                  <c:v>1355</c:v>
                </c:pt>
              </c:numCache>
            </c:numRef>
          </c:xVal>
          <c:yVal>
            <c:numRef>
              <c:f>'table 2'!$A$11:$A$42</c:f>
              <c:numCache>
                <c:formatCode>0.0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E4-496D-8303-B976A03B84DB}"/>
            </c:ext>
          </c:extLst>
        </c:ser>
        <c:ser>
          <c:idx val="1"/>
          <c:order val="1"/>
          <c:tx>
            <c:v>measured data</c:v>
          </c:tx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'table 2'!$F$51:$F$61</c:f>
              <c:numCache>
                <c:formatCode>0.0</c:formatCode>
                <c:ptCount val="11"/>
                <c:pt idx="0">
                  <c:v>726.00302696454457</c:v>
                </c:pt>
                <c:pt idx="1">
                  <c:v>903.67089028822886</c:v>
                </c:pt>
                <c:pt idx="2">
                  <c:v>1057.4795369325016</c:v>
                </c:pt>
                <c:pt idx="3">
                  <c:v>1199.1460774024233</c:v>
                </c:pt>
                <c:pt idx="4">
                  <c:v>1314.6131206058142</c:v>
                </c:pt>
                <c:pt idx="5">
                  <c:v>1356.7665338559805</c:v>
                </c:pt>
                <c:pt idx="6">
                  <c:v>1359.0202503149887</c:v>
                </c:pt>
                <c:pt idx="7">
                  <c:v>1356.4448003021653</c:v>
                </c:pt>
                <c:pt idx="8">
                  <c:v>1349.4542574907853</c:v>
                </c:pt>
                <c:pt idx="9">
                  <c:v>1349.7099265008114</c:v>
                </c:pt>
                <c:pt idx="10">
                  <c:v>1321.791168077089</c:v>
                </c:pt>
              </c:numCache>
            </c:numRef>
          </c:xVal>
          <c:yVal>
            <c:numRef>
              <c:f>'table 2'!$A$51:$A$61</c:f>
              <c:numCache>
                <c:formatCode>0.0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4.5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16.5</c:v>
                </c:pt>
                <c:pt idx="7">
                  <c:v>20</c:v>
                </c:pt>
                <c:pt idx="8">
                  <c:v>23.5</c:v>
                </c:pt>
                <c:pt idx="9">
                  <c:v>27</c:v>
                </c:pt>
                <c:pt idx="10">
                  <c:v>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E4-496D-8303-B976A03B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33472"/>
        <c:axId val="108235776"/>
      </c:scatterChart>
      <c:valAx>
        <c:axId val="108233472"/>
        <c:scaling>
          <c:orientation val="minMax"/>
          <c:max val="1400"/>
          <c:min val="700"/>
        </c:scaling>
        <c:delete val="0"/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200" baseline="0"/>
                  <a:t>Cl [mmol L</a:t>
                </a:r>
                <a:r>
                  <a:rPr lang="de-DE" sz="1200" baseline="30000"/>
                  <a:t>-1</a:t>
                </a:r>
                <a:r>
                  <a:rPr lang="de-DE" sz="1200" baseline="0"/>
                  <a:t>]</a:t>
                </a:r>
              </a:p>
            </c:rich>
          </c:tx>
          <c:layout>
            <c:manualLayout>
              <c:xMode val="edge"/>
              <c:yMode val="edge"/>
              <c:x val="0.35643601019170851"/>
              <c:y val="0.87663698579733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35776"/>
        <c:crossesAt val="0"/>
        <c:crossBetween val="midCat"/>
      </c:valAx>
      <c:valAx>
        <c:axId val="108235776"/>
        <c:scaling>
          <c:orientation val="maxMin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200"/>
                  <a:t>depth [cm]</a:t>
                </a:r>
              </a:p>
            </c:rich>
          </c:tx>
          <c:layout>
            <c:manualLayout>
              <c:xMode val="edge"/>
              <c:yMode val="edge"/>
              <c:x val="1.7477729724518994E-2"/>
              <c:y val="0.386916627752819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33472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49956112745286"/>
          <c:y val="0.53512700520114453"/>
          <c:w val="0.24372840425941864"/>
          <c:h val="0.1147178806321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61220356265"/>
          <c:y val="5.7944017780767312E-2"/>
          <c:w val="0.57851375849996423"/>
          <c:h val="0.78878630656399362"/>
        </c:manualLayout>
      </c:layout>
      <c:scatterChart>
        <c:scatterStyle val="lineMarker"/>
        <c:varyColors val="0"/>
        <c:ser>
          <c:idx val="0"/>
          <c:order val="0"/>
          <c:tx>
            <c:v>model data</c:v>
          </c:tx>
          <c:spPr>
            <a:ln w="1905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</c:spPr>
          </c:marker>
          <c:xVal>
            <c:numRef>
              <c:f>'table 3'!$F$11:$F$42</c:f>
              <c:numCache>
                <c:formatCode>0.00</c:formatCode>
                <c:ptCount val="32"/>
                <c:pt idx="0" formatCode="General">
                  <c:v>725</c:v>
                </c:pt>
                <c:pt idx="1">
                  <c:v>1355</c:v>
                </c:pt>
                <c:pt idx="2">
                  <c:v>1355</c:v>
                </c:pt>
                <c:pt idx="3">
                  <c:v>1355</c:v>
                </c:pt>
                <c:pt idx="4">
                  <c:v>1355</c:v>
                </c:pt>
                <c:pt idx="5">
                  <c:v>1355</c:v>
                </c:pt>
                <c:pt idx="6">
                  <c:v>1355</c:v>
                </c:pt>
                <c:pt idx="7">
                  <c:v>1355</c:v>
                </c:pt>
                <c:pt idx="8">
                  <c:v>1355</c:v>
                </c:pt>
                <c:pt idx="9">
                  <c:v>1355</c:v>
                </c:pt>
                <c:pt idx="10">
                  <c:v>1355</c:v>
                </c:pt>
                <c:pt idx="11">
                  <c:v>1355</c:v>
                </c:pt>
                <c:pt idx="12">
                  <c:v>1355</c:v>
                </c:pt>
                <c:pt idx="13">
                  <c:v>1355</c:v>
                </c:pt>
                <c:pt idx="14">
                  <c:v>1355</c:v>
                </c:pt>
                <c:pt idx="15">
                  <c:v>1355</c:v>
                </c:pt>
                <c:pt idx="16">
                  <c:v>1355</c:v>
                </c:pt>
                <c:pt idx="17">
                  <c:v>1355</c:v>
                </c:pt>
                <c:pt idx="18">
                  <c:v>1355</c:v>
                </c:pt>
                <c:pt idx="19">
                  <c:v>1355</c:v>
                </c:pt>
                <c:pt idx="20">
                  <c:v>1355</c:v>
                </c:pt>
                <c:pt idx="21">
                  <c:v>1355</c:v>
                </c:pt>
                <c:pt idx="22">
                  <c:v>1355</c:v>
                </c:pt>
                <c:pt idx="23">
                  <c:v>1355</c:v>
                </c:pt>
                <c:pt idx="24">
                  <c:v>1355</c:v>
                </c:pt>
                <c:pt idx="25">
                  <c:v>1355</c:v>
                </c:pt>
                <c:pt idx="26">
                  <c:v>1355</c:v>
                </c:pt>
                <c:pt idx="27">
                  <c:v>1355</c:v>
                </c:pt>
                <c:pt idx="28">
                  <c:v>1355</c:v>
                </c:pt>
                <c:pt idx="29">
                  <c:v>1355</c:v>
                </c:pt>
                <c:pt idx="30">
                  <c:v>1355</c:v>
                </c:pt>
                <c:pt idx="31">
                  <c:v>1355</c:v>
                </c:pt>
              </c:numCache>
            </c:numRef>
          </c:xVal>
          <c:yVal>
            <c:numRef>
              <c:f>'table 3'!$A$11:$A$42</c:f>
              <c:numCache>
                <c:formatCode>0.0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88-44FB-9096-56C4257DD455}"/>
            </c:ext>
          </c:extLst>
        </c:ser>
        <c:ser>
          <c:idx val="1"/>
          <c:order val="1"/>
          <c:tx>
            <c:v>measured data</c:v>
          </c:tx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'table 3'!$F$51:$F$61</c:f>
              <c:numCache>
                <c:formatCode>0.0</c:formatCode>
                <c:ptCount val="11"/>
                <c:pt idx="0">
                  <c:v>726.00302696454457</c:v>
                </c:pt>
                <c:pt idx="1">
                  <c:v>903.67089028822886</c:v>
                </c:pt>
                <c:pt idx="2">
                  <c:v>1057.4795369325016</c:v>
                </c:pt>
                <c:pt idx="3">
                  <c:v>1199.1460774024233</c:v>
                </c:pt>
                <c:pt idx="4">
                  <c:v>1314.6131206058142</c:v>
                </c:pt>
                <c:pt idx="5">
                  <c:v>1356.7665338559805</c:v>
                </c:pt>
                <c:pt idx="6">
                  <c:v>1359.0202503149887</c:v>
                </c:pt>
                <c:pt idx="7">
                  <c:v>1356.4448003021653</c:v>
                </c:pt>
                <c:pt idx="8">
                  <c:v>1349.4542574907853</c:v>
                </c:pt>
                <c:pt idx="9">
                  <c:v>1349.7099265008114</c:v>
                </c:pt>
                <c:pt idx="10">
                  <c:v>1321.791168077089</c:v>
                </c:pt>
              </c:numCache>
            </c:numRef>
          </c:xVal>
          <c:yVal>
            <c:numRef>
              <c:f>'table 3'!$A$51:$A$61</c:f>
              <c:numCache>
                <c:formatCode>0.0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4.5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16.5</c:v>
                </c:pt>
                <c:pt idx="7">
                  <c:v>20</c:v>
                </c:pt>
                <c:pt idx="8">
                  <c:v>23.5</c:v>
                </c:pt>
                <c:pt idx="9">
                  <c:v>27</c:v>
                </c:pt>
                <c:pt idx="10">
                  <c:v>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88-44FB-9096-56C4257D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03168"/>
        <c:axId val="108109824"/>
      </c:scatterChart>
      <c:valAx>
        <c:axId val="108103168"/>
        <c:scaling>
          <c:orientation val="minMax"/>
          <c:max val="1400"/>
          <c:min val="700"/>
        </c:scaling>
        <c:delete val="0"/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200" baseline="0"/>
                  <a:t>Cl [mmol L</a:t>
                </a:r>
                <a:r>
                  <a:rPr lang="de-DE" sz="1200" baseline="30000"/>
                  <a:t>-1</a:t>
                </a:r>
                <a:r>
                  <a:rPr lang="de-DE" sz="1200" baseline="0"/>
                  <a:t>]</a:t>
                </a:r>
              </a:p>
            </c:rich>
          </c:tx>
          <c:layout>
            <c:manualLayout>
              <c:xMode val="edge"/>
              <c:yMode val="edge"/>
              <c:x val="0.35643601019170851"/>
              <c:y val="0.87663698579733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09824"/>
        <c:crossesAt val="0"/>
        <c:crossBetween val="midCat"/>
      </c:valAx>
      <c:valAx>
        <c:axId val="108109824"/>
        <c:scaling>
          <c:orientation val="maxMin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200"/>
                  <a:t>depth [cm]</a:t>
                </a:r>
              </a:p>
            </c:rich>
          </c:tx>
          <c:layout>
            <c:manualLayout>
              <c:xMode val="edge"/>
              <c:yMode val="edge"/>
              <c:x val="1.7477729724518994E-2"/>
              <c:y val="0.386916627752819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03168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49956112745286"/>
          <c:y val="0.53512700520114453"/>
          <c:w val="0.24372840425941864"/>
          <c:h val="0.1147178806321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36</xdr:row>
      <xdr:rowOff>123825</xdr:rowOff>
    </xdr:from>
    <xdr:to>
      <xdr:col>12</xdr:col>
      <xdr:colOff>142875</xdr:colOff>
      <xdr:row>44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98D65AD-1B5C-4B97-80F9-5389F2A9B189}"/>
            </a:ext>
          </a:extLst>
        </xdr:cNvPr>
        <xdr:cNvSpPr txBox="1"/>
      </xdr:nvSpPr>
      <xdr:spPr>
        <a:xfrm>
          <a:off x="2619375" y="5610225"/>
          <a:ext cx="48768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Manual: before operating</a:t>
          </a:r>
          <a:r>
            <a:rPr lang="en-US" sz="1200" b="1" baseline="0"/>
            <a:t> </a:t>
          </a:r>
          <a:r>
            <a:rPr lang="en-US" sz="1200" b="1"/>
            <a:t>the diffusion models</a:t>
          </a:r>
          <a:r>
            <a:rPr lang="en-US" sz="1200" b="1" baseline="0"/>
            <a:t> (table 2 and table 3)</a:t>
          </a:r>
        </a:p>
        <a:p>
          <a:r>
            <a:rPr lang="en-US" sz="1200" b="0" baseline="0"/>
            <a:t>Calculate the parameters indicated by the yellow background:</a:t>
          </a:r>
        </a:p>
        <a:p>
          <a:r>
            <a:rPr lang="en-US" sz="1200" b="0" baseline="0"/>
            <a:t>First determine the diffusioncoefficient (D°) at 25 °C, and apply the "SW" (salt water correction, D</a:t>
          </a:r>
          <a:r>
            <a:rPr lang="en-US" sz="1200" b="0" baseline="-25000"/>
            <a:t>SW</a:t>
          </a:r>
          <a:r>
            <a:rPr lang="en-US" sz="1200" b="0" baseline="0"/>
            <a:t>). Then calculate D</a:t>
          </a:r>
          <a:r>
            <a:rPr lang="en-US" sz="1200" b="0" baseline="-25000"/>
            <a:t>sed</a:t>
          </a:r>
          <a:r>
            <a:rPr lang="en-US" sz="1200" b="0" baseline="0"/>
            <a:t> via D° / </a:t>
          </a:r>
          <a:r>
            <a:rPr lang="el-GR" sz="1200" b="0" baseline="0"/>
            <a:t>θ</a:t>
          </a:r>
          <a:r>
            <a:rPr lang="el-GR" sz="1200" b="0" baseline="30000"/>
            <a:t>2</a:t>
          </a:r>
          <a:r>
            <a:rPr lang="de-DE" sz="1200" b="0" baseline="0"/>
            <a:t>. Dsed and porosity are needed to run the models in table 2 and 3.</a:t>
          </a:r>
        </a:p>
        <a:p>
          <a:endParaRPr lang="de-DE" sz="1200" b="0" baseline="0"/>
        </a:p>
        <a:p>
          <a:r>
            <a:rPr lang="en-US" sz="1200" b="0" baseline="0"/>
            <a:t> </a:t>
          </a:r>
          <a:endParaRPr lang="en-US" sz="1100" b="0"/>
        </a:p>
      </xdr:txBody>
    </xdr:sp>
    <xdr:clientData/>
  </xdr:twoCellAnchor>
  <xdr:twoCellAnchor>
    <xdr:from>
      <xdr:col>4</xdr:col>
      <xdr:colOff>114300</xdr:colOff>
      <xdr:row>46</xdr:row>
      <xdr:rowOff>47626</xdr:rowOff>
    </xdr:from>
    <xdr:to>
      <xdr:col>12</xdr:col>
      <xdr:colOff>152400</xdr:colOff>
      <xdr:row>51</xdr:row>
      <xdr:rowOff>95251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2E538A2-2F35-449B-8B96-C89A0C7A9E77}"/>
            </a:ext>
          </a:extLst>
        </xdr:cNvPr>
        <xdr:cNvSpPr txBox="1"/>
      </xdr:nvSpPr>
      <xdr:spPr>
        <a:xfrm>
          <a:off x="2628900" y="7058026"/>
          <a:ext cx="48768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References</a:t>
          </a:r>
        </a:p>
        <a:p>
          <a:r>
            <a:rPr lang="en-US"/>
            <a:t>Boudreau BP. Diagenetic models and their implementation. Springer, Berlin; 1997.</a:t>
          </a:r>
        </a:p>
        <a:p>
          <a:endParaRPr lang="en-US" sz="1100"/>
        </a:p>
        <a:p>
          <a:r>
            <a:rPr lang="en-US"/>
            <a:t>Zabel M, Schulz HD, editors. Marine geochemistry. Springer; 2000.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</xdr:colOff>
      <xdr:row>1</xdr:row>
      <xdr:rowOff>121920</xdr:rowOff>
    </xdr:from>
    <xdr:to>
      <xdr:col>13</xdr:col>
      <xdr:colOff>693420</xdr:colOff>
      <xdr:row>30</xdr:row>
      <xdr:rowOff>62865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723900</xdr:colOff>
      <xdr:row>33</xdr:row>
      <xdr:rowOff>19050</xdr:rowOff>
    </xdr:from>
    <xdr:to>
      <xdr:col>13</xdr:col>
      <xdr:colOff>762000</xdr:colOff>
      <xdr:row>47</xdr:row>
      <xdr:rowOff>104776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99A9D86-D8DB-4580-A140-CFBAD3890002}"/>
            </a:ext>
          </a:extLst>
        </xdr:cNvPr>
        <xdr:cNvSpPr txBox="1"/>
      </xdr:nvSpPr>
      <xdr:spPr>
        <a:xfrm>
          <a:off x="6124575" y="4733925"/>
          <a:ext cx="4667250" cy="2085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Manual:</a:t>
          </a:r>
          <a:r>
            <a:rPr lang="en-US" sz="1200" b="1" baseline="0"/>
            <a:t> how to operate the model</a:t>
          </a:r>
        </a:p>
        <a:p>
          <a:r>
            <a:rPr lang="en-US" sz="1100" b="0" baseline="0"/>
            <a:t>1) Column D gives the pore water flux in the respective increment (column A).</a:t>
          </a:r>
        </a:p>
        <a:p>
          <a:r>
            <a:rPr lang="en-US" sz="1100" b="0" baseline="0"/>
            <a:t>2) Column F gives the chloride concentration in the respective increment (column A).</a:t>
          </a:r>
        </a:p>
        <a:p>
          <a:r>
            <a:rPr lang="en-US" sz="1100" b="0" baseline="0"/>
            <a:t>3) Activate "ITERATION" via Options/Formulas</a:t>
          </a:r>
        </a:p>
        <a:p>
          <a:r>
            <a:rPr lang="en-US" sz="1100" b="0" baseline="0"/>
            <a:t>4) Start the model via the "switch" cell</a:t>
          </a:r>
        </a:p>
        <a:p>
          <a:r>
            <a:rPr lang="en-US" sz="1100" b="0" baseline="0"/>
            <a:t>5) If you type a "0" into the cell and press "enter" you start the first iteration</a:t>
          </a:r>
        </a:p>
        <a:p>
          <a:r>
            <a:rPr lang="en-US" sz="1100" b="0"/>
            <a:t>6) Press the "f9" button for each iteration.</a:t>
          </a:r>
          <a:r>
            <a:rPr lang="en-US" sz="1100" b="0" baseline="0"/>
            <a:t> One iteration represents 1 hour (column C6), so please count how often you hit the "f9" button.</a:t>
          </a:r>
        </a:p>
        <a:p>
          <a:r>
            <a:rPr lang="en-US" sz="1100" b="0" baseline="0"/>
            <a:t>7) Equilibrium is reached when the model data (blue) fit the measured data (pink)</a:t>
          </a:r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</xdr:colOff>
      <xdr:row>1</xdr:row>
      <xdr:rowOff>133350</xdr:rowOff>
    </xdr:from>
    <xdr:to>
      <xdr:col>13</xdr:col>
      <xdr:colOff>689610</xdr:colOff>
      <xdr:row>30</xdr:row>
      <xdr:rowOff>87630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33</xdr:row>
      <xdr:rowOff>19050</xdr:rowOff>
    </xdr:from>
    <xdr:to>
      <xdr:col>14</xdr:col>
      <xdr:colOff>114300</xdr:colOff>
      <xdr:row>47</xdr:row>
      <xdr:rowOff>104776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7BC3432-6ACC-45D5-8C16-EED27E10F671}"/>
            </a:ext>
          </a:extLst>
        </xdr:cNvPr>
        <xdr:cNvSpPr txBox="1"/>
      </xdr:nvSpPr>
      <xdr:spPr>
        <a:xfrm>
          <a:off x="6115050" y="4733925"/>
          <a:ext cx="4667250" cy="2085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Manual:</a:t>
          </a:r>
          <a:r>
            <a:rPr lang="en-US" sz="1200" b="1" baseline="0"/>
            <a:t> how to operate the model</a:t>
          </a:r>
        </a:p>
        <a:p>
          <a:r>
            <a:rPr lang="en-US" sz="1100" b="0" baseline="0"/>
            <a:t>1) Column D gives the pore water flux in the respective increment (column A).</a:t>
          </a:r>
        </a:p>
        <a:p>
          <a:r>
            <a:rPr lang="en-US" sz="1100" b="0" baseline="0"/>
            <a:t>2) Column F gives the chloride concentration in the respective increment (column A).</a:t>
          </a:r>
        </a:p>
        <a:p>
          <a:r>
            <a:rPr lang="en-US" sz="1100" b="0" baseline="0"/>
            <a:t>3) Activate "ITERATION" via Options/Formulas</a:t>
          </a:r>
        </a:p>
        <a:p>
          <a:r>
            <a:rPr lang="en-US" sz="1100" b="0" baseline="0"/>
            <a:t>4) Start the model via the "switch" cell</a:t>
          </a:r>
        </a:p>
        <a:p>
          <a:r>
            <a:rPr lang="en-US" sz="1100" b="0" baseline="0"/>
            <a:t>5) If you type a "0" into the cell and press "enter" you start the first iteration</a:t>
          </a:r>
        </a:p>
        <a:p>
          <a:r>
            <a:rPr lang="en-US" sz="1100" b="0"/>
            <a:t>6) Press the "f9" button for each iteration.</a:t>
          </a:r>
          <a:r>
            <a:rPr lang="en-US" sz="1100" b="0" baseline="0"/>
            <a:t> One iteration represents 1 hour (column C6), so please count how often you hit the "f9" button.</a:t>
          </a:r>
        </a:p>
        <a:p>
          <a:r>
            <a:rPr lang="en-US" sz="1100" b="0" baseline="0"/>
            <a:t>7) Equilibrium is reached when the model data (blue) fit the measured data (pink)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workbookViewId="0">
      <selection activeCell="S48" sqref="S48"/>
    </sheetView>
  </sheetViews>
  <sheetFormatPr baseColWidth="10" defaultColWidth="11.5703125" defaultRowHeight="14.25" x14ac:dyDescent="0.2"/>
  <cols>
    <col min="1" max="1" width="11.5703125" style="8"/>
    <col min="2" max="11" width="8.7109375" style="8" customWidth="1"/>
    <col min="12" max="13" width="11.5703125" style="8"/>
    <col min="14" max="14" width="13.5703125" style="8" bestFit="1" customWidth="1"/>
    <col min="15" max="22" width="11.5703125" style="8"/>
    <col min="23" max="23" width="12.7109375" style="8" customWidth="1"/>
    <col min="24" max="16384" width="11.5703125" style="8"/>
  </cols>
  <sheetData>
    <row r="1" spans="1:33" s="96" customFormat="1" ht="12" customHeight="1" x14ac:dyDescent="0.25">
      <c r="A1" s="3" t="s">
        <v>12</v>
      </c>
      <c r="B1" s="2" t="s">
        <v>13</v>
      </c>
      <c r="C1" s="93" t="s">
        <v>56</v>
      </c>
      <c r="D1" s="93" t="s">
        <v>58</v>
      </c>
      <c r="E1" s="1" t="s">
        <v>10</v>
      </c>
      <c r="F1" s="7" t="s">
        <v>15</v>
      </c>
      <c r="G1" s="7" t="s">
        <v>16</v>
      </c>
      <c r="H1" s="1" t="s">
        <v>17</v>
      </c>
      <c r="I1" s="7" t="s">
        <v>18</v>
      </c>
      <c r="J1" s="7" t="s">
        <v>20</v>
      </c>
      <c r="K1" s="7" t="s">
        <v>22</v>
      </c>
      <c r="L1" s="1" t="s">
        <v>23</v>
      </c>
      <c r="M1" s="7" t="s">
        <v>24</v>
      </c>
      <c r="O1" s="1" t="s">
        <v>10</v>
      </c>
      <c r="P1" s="7" t="s">
        <v>15</v>
      </c>
      <c r="Q1" s="7" t="s">
        <v>16</v>
      </c>
      <c r="R1" s="1" t="s">
        <v>17</v>
      </c>
      <c r="S1" s="7" t="s">
        <v>18</v>
      </c>
      <c r="T1" s="7" t="s">
        <v>20</v>
      </c>
      <c r="U1" s="7" t="s">
        <v>22</v>
      </c>
      <c r="V1" s="1" t="s">
        <v>23</v>
      </c>
      <c r="W1" s="7" t="s">
        <v>24</v>
      </c>
      <c r="Y1" s="1" t="s">
        <v>10</v>
      </c>
      <c r="Z1" s="7" t="s">
        <v>15</v>
      </c>
      <c r="AA1" s="7" t="s">
        <v>16</v>
      </c>
      <c r="AB1" s="1" t="s">
        <v>17</v>
      </c>
      <c r="AC1" s="7" t="s">
        <v>18</v>
      </c>
      <c r="AD1" s="7" t="s">
        <v>20</v>
      </c>
      <c r="AE1" s="7" t="s">
        <v>22</v>
      </c>
      <c r="AF1" s="1" t="s">
        <v>23</v>
      </c>
      <c r="AG1" s="7" t="s">
        <v>24</v>
      </c>
    </row>
    <row r="2" spans="1:33" s="96" customFormat="1" ht="12" customHeight="1" x14ac:dyDescent="0.25">
      <c r="A2" s="4"/>
      <c r="B2" s="5"/>
      <c r="C2" s="4" t="s">
        <v>21</v>
      </c>
      <c r="D2" s="4" t="s">
        <v>21</v>
      </c>
      <c r="E2" s="1"/>
      <c r="F2" s="4"/>
      <c r="G2" s="4"/>
      <c r="H2" s="4"/>
      <c r="I2" s="4"/>
      <c r="J2" s="4" t="s">
        <v>21</v>
      </c>
      <c r="K2" s="4"/>
      <c r="L2" s="4"/>
      <c r="M2" s="4"/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61</v>
      </c>
      <c r="V2" s="1" t="s">
        <v>61</v>
      </c>
      <c r="W2" s="1" t="s">
        <v>61</v>
      </c>
      <c r="Y2" s="1" t="s">
        <v>61</v>
      </c>
      <c r="Z2" s="1" t="s">
        <v>61</v>
      </c>
      <c r="AA2" s="1" t="s">
        <v>61</v>
      </c>
      <c r="AB2" s="1" t="s">
        <v>61</v>
      </c>
      <c r="AC2" s="1" t="s">
        <v>61</v>
      </c>
      <c r="AD2" s="1" t="s">
        <v>61</v>
      </c>
      <c r="AE2" s="1" t="s">
        <v>61</v>
      </c>
      <c r="AF2" s="1" t="s">
        <v>61</v>
      </c>
      <c r="AG2" s="1" t="s">
        <v>61</v>
      </c>
    </row>
    <row r="3" spans="1:33" s="96" customFormat="1" ht="12" customHeight="1" x14ac:dyDescent="0.25">
      <c r="A3" s="4"/>
      <c r="B3" s="5" t="s">
        <v>14</v>
      </c>
      <c r="C3" s="93" t="s">
        <v>57</v>
      </c>
      <c r="D3" s="93" t="s">
        <v>57</v>
      </c>
      <c r="E3" s="2" t="s">
        <v>11</v>
      </c>
      <c r="F3" s="7" t="s">
        <v>19</v>
      </c>
      <c r="G3" s="7" t="s">
        <v>19</v>
      </c>
      <c r="H3" s="1" t="s">
        <v>19</v>
      </c>
      <c r="I3" s="7" t="s">
        <v>19</v>
      </c>
      <c r="J3" s="7" t="s">
        <v>19</v>
      </c>
      <c r="K3" s="7" t="s">
        <v>19</v>
      </c>
      <c r="L3" s="1" t="s">
        <v>19</v>
      </c>
      <c r="M3" s="7" t="s">
        <v>19</v>
      </c>
      <c r="O3" s="2" t="s">
        <v>60</v>
      </c>
      <c r="P3" s="7" t="s">
        <v>59</v>
      </c>
      <c r="Q3" s="7" t="s">
        <v>59</v>
      </c>
      <c r="R3" s="7" t="s">
        <v>59</v>
      </c>
      <c r="S3" s="7" t="s">
        <v>59</v>
      </c>
      <c r="T3" s="7" t="s">
        <v>59</v>
      </c>
      <c r="U3" s="7" t="s">
        <v>59</v>
      </c>
      <c r="V3" s="7" t="s">
        <v>59</v>
      </c>
      <c r="W3" s="7" t="s">
        <v>59</v>
      </c>
      <c r="Y3" s="2" t="s">
        <v>60</v>
      </c>
      <c r="Z3" s="7" t="s">
        <v>63</v>
      </c>
      <c r="AA3" s="7" t="s">
        <v>63</v>
      </c>
      <c r="AB3" s="7" t="s">
        <v>63</v>
      </c>
      <c r="AC3" s="7" t="s">
        <v>63</v>
      </c>
      <c r="AD3" s="7" t="s">
        <v>63</v>
      </c>
      <c r="AE3" s="7" t="s">
        <v>63</v>
      </c>
      <c r="AF3" s="7" t="s">
        <v>63</v>
      </c>
      <c r="AG3" s="7" t="s">
        <v>63</v>
      </c>
    </row>
    <row r="4" spans="1:33" s="96" customFormat="1" ht="12" customHeight="1" x14ac:dyDescent="0.25">
      <c r="E4" s="2"/>
      <c r="P4" s="7" t="s">
        <v>64</v>
      </c>
      <c r="Q4" s="7" t="s">
        <v>64</v>
      </c>
      <c r="R4" s="7" t="s">
        <v>64</v>
      </c>
      <c r="S4" s="7" t="s">
        <v>64</v>
      </c>
      <c r="T4" s="7" t="s">
        <v>64</v>
      </c>
      <c r="U4" s="7" t="s">
        <v>64</v>
      </c>
      <c r="V4" s="7" t="s">
        <v>64</v>
      </c>
      <c r="W4" s="7" t="s">
        <v>64</v>
      </c>
    </row>
    <row r="5" spans="1:33" s="96" customFormat="1" ht="12" customHeight="1" x14ac:dyDescent="0.25">
      <c r="A5" s="40" t="s">
        <v>25</v>
      </c>
      <c r="B5" s="98">
        <v>0</v>
      </c>
      <c r="C5" s="99">
        <v>1.0324800000000001</v>
      </c>
      <c r="D5" s="100">
        <v>1.0309900000000001</v>
      </c>
      <c r="E5" s="101">
        <v>45.372116258167857</v>
      </c>
      <c r="F5" s="101">
        <v>13.503081437630639</v>
      </c>
      <c r="G5" s="101">
        <v>68.257050121468183</v>
      </c>
      <c r="H5" s="102">
        <v>604.54232598705482</v>
      </c>
      <c r="I5" s="101">
        <v>12.905206725797143</v>
      </c>
      <c r="J5" s="103">
        <v>2.4028408750434496</v>
      </c>
      <c r="K5" s="103">
        <v>3.2639857430652408</v>
      </c>
      <c r="L5" s="102">
        <v>704.18047407302163</v>
      </c>
      <c r="M5" s="101">
        <v>36.41519766511184</v>
      </c>
      <c r="O5" s="101">
        <f>E5*$D5</f>
        <v>46.778198141008481</v>
      </c>
      <c r="P5" s="101">
        <f t="shared" ref="P5:W5" si="0">F5*$D5</f>
        <v>13.921541931382814</v>
      </c>
      <c r="Q5" s="101">
        <f t="shared" si="0"/>
        <v>70.372336104732483</v>
      </c>
      <c r="R5" s="101">
        <f t="shared" si="0"/>
        <v>623.27709266939371</v>
      </c>
      <c r="S5" s="101">
        <f t="shared" si="0"/>
        <v>13.305139082229598</v>
      </c>
      <c r="T5" s="101">
        <f t="shared" si="0"/>
        <v>2.4773049137610461</v>
      </c>
      <c r="U5" s="101">
        <f t="shared" si="0"/>
        <v>3.3651366612428331</v>
      </c>
      <c r="V5" s="101">
        <f t="shared" si="0"/>
        <v>726.00302696454457</v>
      </c>
      <c r="W5" s="101">
        <f t="shared" si="0"/>
        <v>37.54370464075366</v>
      </c>
      <c r="X5" s="104"/>
      <c r="Y5" s="104"/>
      <c r="Z5" s="103">
        <f>0.8*(P6-P5)/($B6-$B5)/1000*0.45*1000</f>
        <v>0.13023700075244105</v>
      </c>
      <c r="AA5" s="103">
        <f>0.8*(Q6-Q5)/($B6-$B5)/1000*0.39*1000</f>
        <v>3.427152972063829</v>
      </c>
      <c r="AB5" s="103">
        <f>0.8*(R6-R5)/($B6-$B5)/1000*0.75*1000</f>
        <v>46.452550544118623</v>
      </c>
      <c r="AC5" s="103">
        <f>0.8*(S6-S5)/($B6-$B5)/1000*1.1*1000</f>
        <v>1.4106263937872898</v>
      </c>
      <c r="AD5" s="103">
        <f>0.8*(T6-T5)/($B6-$B5)/1000*0.66*1000</f>
        <v>2.9988403405557453</v>
      </c>
      <c r="AE5" s="103">
        <f>0.8*(U6-U5)/($B6-$B5)/1000*0.66*1000</f>
        <v>2.6010332351554992</v>
      </c>
      <c r="AF5" s="115">
        <f>0.8*(V6-V5)/($B6-$B5)/1000*1.14*1000</f>
        <v>81.016545675600042</v>
      </c>
      <c r="AG5" s="103">
        <f>0.8*(W6-W5)/($B6-$B5)/1000*0.59*1000</f>
        <v>1.7938116618207032</v>
      </c>
    </row>
    <row r="6" spans="1:33" s="96" customFormat="1" ht="12" customHeight="1" x14ac:dyDescent="0.25">
      <c r="A6" s="105" t="s">
        <v>0</v>
      </c>
      <c r="B6" s="98">
        <v>2</v>
      </c>
      <c r="C6" s="99">
        <v>1.04098</v>
      </c>
      <c r="D6" s="100">
        <v>1.0394099999999999</v>
      </c>
      <c r="E6" s="101">
        <v>56.465585435997014</v>
      </c>
      <c r="F6" s="101">
        <v>14.089801737958968</v>
      </c>
      <c r="G6" s="101">
        <v>88.840077941172353</v>
      </c>
      <c r="H6" s="102">
        <v>748.61597234628857</v>
      </c>
      <c r="I6" s="101">
        <v>15.885077264042959</v>
      </c>
      <c r="J6" s="103">
        <v>13.31192563857126</v>
      </c>
      <c r="K6" s="90">
        <v>12.716382639435917</v>
      </c>
      <c r="L6" s="102">
        <v>869.40753916955669</v>
      </c>
      <c r="M6" s="101">
        <v>43.432910509688462</v>
      </c>
      <c r="O6" s="101">
        <f t="shared" ref="O6:O15" si="1">E6*$D6</f>
        <v>58.69089415802965</v>
      </c>
      <c r="P6" s="101">
        <f t="shared" ref="P6:P15" si="2">F6*$D6</f>
        <v>14.645080824451931</v>
      </c>
      <c r="Q6" s="101">
        <f t="shared" ref="Q6:Q15" si="3">G6*$D6</f>
        <v>92.341265412833948</v>
      </c>
      <c r="R6" s="101">
        <f t="shared" ref="R6:R15" si="4">H6*$D6</f>
        <v>778.11892781645577</v>
      </c>
      <c r="S6" s="101">
        <f t="shared" ref="S6:S15" si="5">I6*$D6</f>
        <v>16.511108159018892</v>
      </c>
      <c r="T6" s="101">
        <f t="shared" ref="T6:T15" si="6">J6*$D6</f>
        <v>13.836548627987353</v>
      </c>
      <c r="U6" s="101">
        <f t="shared" ref="U6:U15" si="7">K6*$D6</f>
        <v>13.217535279256087</v>
      </c>
      <c r="V6" s="101">
        <f t="shared" ref="V6:V15" si="8">L6*$D6</f>
        <v>903.67089028822886</v>
      </c>
      <c r="W6" s="101">
        <f t="shared" ref="W6:W15" si="9">M6*$D6</f>
        <v>45.144601512875283</v>
      </c>
      <c r="X6" s="104"/>
      <c r="Y6" s="104"/>
      <c r="Z6" s="103">
        <f t="shared" ref="Z6:Z15" si="10">0.8*(P7-P6)/($B7-$B6)/1000*0.45*1000</f>
        <v>0.40412573089096965</v>
      </c>
      <c r="AA6" s="103">
        <f t="shared" ref="AA6:AA15" si="11">0.8*(Q7-Q6)/($B7-$B6)/1000*0.39*1000</f>
        <v>1.9811021281823022</v>
      </c>
      <c r="AB6" s="103">
        <f t="shared" ref="AB6:AB15" si="12">0.8*(R7-R6)/($B7-$B6)/1000*0.75*1000</f>
        <v>31.275369862776486</v>
      </c>
      <c r="AC6" s="103">
        <f t="shared" ref="AC6:AC15" si="13">0.8*(S7-S6)/($B7-$B6)/1000*1.1*1000</f>
        <v>0.82004632112326614</v>
      </c>
      <c r="AD6" s="103">
        <f t="shared" ref="AD6:AD15" si="14">0.8*(T7-T6)/($B7-$B6)/1000*0.66*1000</f>
        <v>-1.0042809358036342</v>
      </c>
      <c r="AE6" s="103">
        <f t="shared" ref="AE6:AE15" si="15">0.8*(U7-U6)/($B7-$B6)/1000*0.66*1000</f>
        <v>-1.0017714975437708</v>
      </c>
      <c r="AF6" s="115">
        <f t="shared" ref="AF6:AF15" si="16">0.8*(V7-V6)/($B7-$B6)/1000*1.14*1000</f>
        <v>56.10939429583069</v>
      </c>
      <c r="AG6" s="103">
        <f t="shared" ref="AG6:AG15" si="17">0.8*(W7-W6)/($B7-$B6)/1000*0.59*1000</f>
        <v>2.0866895690827523</v>
      </c>
    </row>
    <row r="7" spans="1:33" s="96" customFormat="1" ht="12" customHeight="1" x14ac:dyDescent="0.25">
      <c r="A7" s="105" t="s">
        <v>1</v>
      </c>
      <c r="B7" s="98">
        <v>4.5</v>
      </c>
      <c r="C7" s="99">
        <v>1.048</v>
      </c>
      <c r="D7" s="100">
        <v>1.04637</v>
      </c>
      <c r="E7" s="101">
        <v>65.49189675041896</v>
      </c>
      <c r="F7" s="101">
        <v>16.678143975070743</v>
      </c>
      <c r="G7" s="101">
        <v>103.41990040188983</v>
      </c>
      <c r="H7" s="102">
        <v>868.17566339952191</v>
      </c>
      <c r="I7" s="101">
        <v>18.005853768422771</v>
      </c>
      <c r="J7" s="103">
        <v>8.6789859808053524</v>
      </c>
      <c r="K7" s="90">
        <v>8.0987595419847338</v>
      </c>
      <c r="L7" s="102">
        <v>1010.6172165988145</v>
      </c>
      <c r="M7" s="101">
        <v>53.706607323461945</v>
      </c>
      <c r="O7" s="101">
        <f t="shared" si="1"/>
        <v>68.528756002735889</v>
      </c>
      <c r="P7" s="101">
        <f t="shared" si="2"/>
        <v>17.451509511194775</v>
      </c>
      <c r="Q7" s="101">
        <f t="shared" si="3"/>
        <v>108.21548118352547</v>
      </c>
      <c r="R7" s="101">
        <f t="shared" si="4"/>
        <v>908.43296891135776</v>
      </c>
      <c r="S7" s="101">
        <f t="shared" si="5"/>
        <v>18.840785207664535</v>
      </c>
      <c r="T7" s="101">
        <f t="shared" si="6"/>
        <v>9.0814305607352974</v>
      </c>
      <c r="U7" s="101">
        <f t="shared" si="7"/>
        <v>8.4742990219465657</v>
      </c>
      <c r="V7" s="101">
        <f t="shared" si="8"/>
        <v>1057.4795369325016</v>
      </c>
      <c r="W7" s="101">
        <f t="shared" si="9"/>
        <v>56.196982705050878</v>
      </c>
      <c r="X7" s="104"/>
      <c r="Y7" s="104"/>
      <c r="Z7" s="103">
        <f t="shared" si="10"/>
        <v>0.36981122637463532</v>
      </c>
      <c r="AA7" s="103">
        <f t="shared" si="11"/>
        <v>1.7049796137138749</v>
      </c>
      <c r="AB7" s="103">
        <f t="shared" si="12"/>
        <v>29.183944284606468</v>
      </c>
      <c r="AC7" s="103">
        <f t="shared" si="13"/>
        <v>0.81201062474720143</v>
      </c>
      <c r="AD7" s="103">
        <f t="shared" si="14"/>
        <v>-0.31152100489659873</v>
      </c>
      <c r="AE7" s="103">
        <f t="shared" si="15"/>
        <v>-0.29000551604300201</v>
      </c>
      <c r="AF7" s="115">
        <f t="shared" si="16"/>
        <v>51.679953963427465</v>
      </c>
      <c r="AG7" s="103">
        <f t="shared" si="17"/>
        <v>1.4298372909379151</v>
      </c>
    </row>
    <row r="8" spans="1:33" s="96" customFormat="1" ht="12" customHeight="1" x14ac:dyDescent="0.25">
      <c r="A8" s="105" t="s">
        <v>2</v>
      </c>
      <c r="B8" s="98">
        <v>7</v>
      </c>
      <c r="C8" s="99">
        <v>1.0543400000000001</v>
      </c>
      <c r="D8" s="100">
        <v>1.0526599999999999</v>
      </c>
      <c r="E8" s="101">
        <v>73.654246497013233</v>
      </c>
      <c r="F8" s="101">
        <v>19.018147386321605</v>
      </c>
      <c r="G8" s="101">
        <v>115.78019190073985</v>
      </c>
      <c r="H8" s="102">
        <v>978.50468029932256</v>
      </c>
      <c r="I8" s="101">
        <v>20.089709472596688</v>
      </c>
      <c r="J8" s="103">
        <v>7.2259094130129009</v>
      </c>
      <c r="K8" s="90">
        <v>6.7459263615152611</v>
      </c>
      <c r="L8" s="102">
        <v>1139.1580162658631</v>
      </c>
      <c r="M8" s="101">
        <v>60.580124105552464</v>
      </c>
      <c r="O8" s="101">
        <f t="shared" si="1"/>
        <v>77.532879117545946</v>
      </c>
      <c r="P8" s="101">
        <f t="shared" si="2"/>
        <v>20.019643027685298</v>
      </c>
      <c r="Q8" s="101">
        <f t="shared" si="3"/>
        <v>121.8771768062328</v>
      </c>
      <c r="R8" s="101">
        <f t="shared" si="4"/>
        <v>1030.0327367638847</v>
      </c>
      <c r="S8" s="101">
        <f t="shared" si="5"/>
        <v>21.147633573423629</v>
      </c>
      <c r="T8" s="101">
        <f t="shared" si="6"/>
        <v>7.6064258027021596</v>
      </c>
      <c r="U8" s="101">
        <f t="shared" si="7"/>
        <v>7.1011668437126545</v>
      </c>
      <c r="V8" s="101">
        <f t="shared" si="8"/>
        <v>1199.1460774024233</v>
      </c>
      <c r="W8" s="101">
        <f t="shared" si="9"/>
        <v>63.770273440950852</v>
      </c>
      <c r="X8" s="104"/>
      <c r="Y8" s="104"/>
      <c r="Z8" s="103">
        <f t="shared" si="10"/>
        <v>0.27579439327762262</v>
      </c>
      <c r="AA8" s="103">
        <f t="shared" si="11"/>
        <v>1.1192785830775323</v>
      </c>
      <c r="AB8" s="103">
        <f t="shared" si="12"/>
        <v>19.727030552486621</v>
      </c>
      <c r="AC8" s="103">
        <f t="shared" si="13"/>
        <v>0.50876112275271201</v>
      </c>
      <c r="AD8" s="103">
        <f t="shared" si="14"/>
        <v>-0.22152776062097118</v>
      </c>
      <c r="AE8" s="103">
        <f t="shared" si="15"/>
        <v>-0.19113691577003275</v>
      </c>
      <c r="AF8" s="115">
        <f t="shared" si="16"/>
        <v>35.101981133830819</v>
      </c>
      <c r="AG8" s="103">
        <f t="shared" si="17"/>
        <v>0.92726398341231475</v>
      </c>
    </row>
    <row r="9" spans="1:33" s="96" customFormat="1" ht="12" customHeight="1" x14ac:dyDescent="0.25">
      <c r="A9" s="105" t="s">
        <v>3</v>
      </c>
      <c r="B9" s="98">
        <v>10</v>
      </c>
      <c r="C9" s="99">
        <v>1.05945</v>
      </c>
      <c r="D9" s="100">
        <v>1.05772</v>
      </c>
      <c r="E9" s="101">
        <v>80.198037463424157</v>
      </c>
      <c r="F9" s="101">
        <v>21.100035584400555</v>
      </c>
      <c r="G9" s="101">
        <v>125.40130741054911</v>
      </c>
      <c r="H9" s="102">
        <v>1067.0762484649224</v>
      </c>
      <c r="I9" s="101">
        <v>21.633368464148152</v>
      </c>
      <c r="J9" s="103">
        <v>6.0013475632761599</v>
      </c>
      <c r="K9" s="90">
        <v>5.6869130209070757</v>
      </c>
      <c r="L9" s="102">
        <v>1242.8744096791345</v>
      </c>
      <c r="M9" s="101">
        <v>65.862326943013954</v>
      </c>
      <c r="O9" s="101">
        <f t="shared" si="1"/>
        <v>84.827068185813005</v>
      </c>
      <c r="P9" s="101">
        <f t="shared" si="2"/>
        <v>22.317929638332153</v>
      </c>
      <c r="Q9" s="101">
        <f t="shared" si="3"/>
        <v>132.63947087428599</v>
      </c>
      <c r="R9" s="101">
        <f t="shared" si="4"/>
        <v>1128.6678895263178</v>
      </c>
      <c r="S9" s="101">
        <f t="shared" si="5"/>
        <v>22.882046491898784</v>
      </c>
      <c r="T9" s="101">
        <f t="shared" si="6"/>
        <v>6.3477453446284597</v>
      </c>
      <c r="U9" s="101">
        <f t="shared" si="7"/>
        <v>6.0151616404738322</v>
      </c>
      <c r="V9" s="101">
        <f t="shared" si="8"/>
        <v>1314.6131206058142</v>
      </c>
      <c r="W9" s="101">
        <f t="shared" si="9"/>
        <v>69.663900454164718</v>
      </c>
      <c r="X9" s="104"/>
      <c r="Y9" s="104"/>
      <c r="Z9" s="103">
        <f t="shared" si="10"/>
        <v>9.4344980160892947E-2</v>
      </c>
      <c r="AA9" s="103">
        <f t="shared" si="11"/>
        <v>0.28610467027611325</v>
      </c>
      <c r="AB9" s="103">
        <f t="shared" si="12"/>
        <v>7.1816720500335594</v>
      </c>
      <c r="AC9" s="103">
        <f t="shared" si="13"/>
        <v>0.22840380063358398</v>
      </c>
      <c r="AD9" s="103">
        <f t="shared" si="14"/>
        <v>-0.1612234761235741</v>
      </c>
      <c r="AE9" s="103">
        <f t="shared" si="15"/>
        <v>-0.14351349251195292</v>
      </c>
      <c r="AF9" s="115">
        <f t="shared" si="16"/>
        <v>12.814637628050555</v>
      </c>
      <c r="AG9" s="103">
        <f t="shared" si="17"/>
        <v>0.16405797731915236</v>
      </c>
    </row>
    <row r="10" spans="1:33" s="96" customFormat="1" ht="12" customHeight="1" x14ac:dyDescent="0.25">
      <c r="A10" s="105" t="s">
        <v>4</v>
      </c>
      <c r="B10" s="98">
        <v>13</v>
      </c>
      <c r="C10" s="99">
        <v>1.0611600000000001</v>
      </c>
      <c r="D10" s="100">
        <v>1.05941</v>
      </c>
      <c r="E10" s="101">
        <v>82.431501741537986</v>
      </c>
      <c r="F10" s="101">
        <v>21.808495111750499</v>
      </c>
      <c r="G10" s="101">
        <v>127.79799824359655</v>
      </c>
      <c r="H10" s="102">
        <v>1099.2686965164437</v>
      </c>
      <c r="I10" s="101">
        <v>22.333842244495095</v>
      </c>
      <c r="J10" s="103">
        <v>5.1271017515915531</v>
      </c>
      <c r="K10" s="90">
        <v>4.9081508286529205</v>
      </c>
      <c r="L10" s="102">
        <v>1280.6812601881995</v>
      </c>
      <c r="M10" s="101">
        <v>66.741527676188184</v>
      </c>
      <c r="O10" s="101">
        <f t="shared" si="1"/>
        <v>87.32875726000276</v>
      </c>
      <c r="P10" s="101">
        <f t="shared" si="2"/>
        <v>23.104137806339594</v>
      </c>
      <c r="Q10" s="101">
        <f t="shared" si="3"/>
        <v>135.39047731924862</v>
      </c>
      <c r="R10" s="101">
        <f t="shared" si="4"/>
        <v>1164.5762497764856</v>
      </c>
      <c r="S10" s="101">
        <f t="shared" si="5"/>
        <v>23.660695812240547</v>
      </c>
      <c r="T10" s="101">
        <f t="shared" si="6"/>
        <v>5.4317028666536071</v>
      </c>
      <c r="U10" s="101">
        <f t="shared" si="7"/>
        <v>5.1997440693831907</v>
      </c>
      <c r="V10" s="101">
        <f t="shared" si="8"/>
        <v>1356.7665338559805</v>
      </c>
      <c r="W10" s="101">
        <f t="shared" si="9"/>
        <v>70.706641835430517</v>
      </c>
      <c r="X10" s="104"/>
      <c r="Y10" s="104"/>
      <c r="Z10" s="103">
        <f t="shared" si="10"/>
        <v>3.8487072736966103E-2</v>
      </c>
      <c r="AA10" s="103">
        <f t="shared" si="11"/>
        <v>-8.6393932517433325E-2</v>
      </c>
      <c r="AB10" s="103">
        <f t="shared" si="12"/>
        <v>0.42192212563083692</v>
      </c>
      <c r="AC10" s="103">
        <f t="shared" si="13"/>
        <v>4.0501750416154648E-2</v>
      </c>
      <c r="AD10" s="103">
        <f t="shared" si="14"/>
        <v>-4.3435131519758093E-2</v>
      </c>
      <c r="AE10" s="103">
        <f t="shared" si="15"/>
        <v>-4.2665309341878309E-2</v>
      </c>
      <c r="AF10" s="115">
        <f t="shared" si="16"/>
        <v>0.58725411731872723</v>
      </c>
      <c r="AG10" s="103">
        <f t="shared" si="17"/>
        <v>-1.1791624584790984E-2</v>
      </c>
    </row>
    <row r="11" spans="1:33" s="96" customFormat="1" ht="12" customHeight="1" x14ac:dyDescent="0.25">
      <c r="A11" s="105" t="s">
        <v>5</v>
      </c>
      <c r="B11" s="98">
        <v>16.5</v>
      </c>
      <c r="C11" s="99">
        <v>1.06121</v>
      </c>
      <c r="D11" s="100">
        <v>1.0594699999999999</v>
      </c>
      <c r="E11" s="101">
        <v>82.528358352296081</v>
      </c>
      <c r="F11" s="101">
        <v>22.160436520308465</v>
      </c>
      <c r="G11" s="101">
        <v>126.87599895676719</v>
      </c>
      <c r="H11" s="102">
        <v>1101.5295026532124</v>
      </c>
      <c r="I11" s="101">
        <v>22.484621857700102</v>
      </c>
      <c r="J11" s="103">
        <v>4.8550507266103597</v>
      </c>
      <c r="K11" s="90">
        <v>4.6409287511425648</v>
      </c>
      <c r="L11" s="102">
        <v>1282.7359437407279</v>
      </c>
      <c r="M11" s="101">
        <v>66.655218119685912</v>
      </c>
      <c r="O11" s="101">
        <f t="shared" si="1"/>
        <v>87.43631982350712</v>
      </c>
      <c r="P11" s="101">
        <f t="shared" si="2"/>
        <v>23.478317680171209</v>
      </c>
      <c r="Q11" s="101">
        <f t="shared" si="3"/>
        <v>134.42131461472613</v>
      </c>
      <c r="R11" s="101">
        <f t="shared" si="4"/>
        <v>1167.0374621759988</v>
      </c>
      <c r="S11" s="101">
        <f t="shared" si="5"/>
        <v>23.821782319577526</v>
      </c>
      <c r="T11" s="101">
        <f t="shared" si="6"/>
        <v>5.1437805933218774</v>
      </c>
      <c r="U11" s="101">
        <f t="shared" si="7"/>
        <v>4.9169247839730126</v>
      </c>
      <c r="V11" s="101">
        <f t="shared" si="8"/>
        <v>1359.0202503149887</v>
      </c>
      <c r="W11" s="101">
        <f t="shared" si="9"/>
        <v>70.619203941263635</v>
      </c>
      <c r="X11" s="104"/>
      <c r="Y11" s="104"/>
      <c r="Z11" s="103">
        <f t="shared" si="10"/>
        <v>3.0757849108954655E-2</v>
      </c>
      <c r="AA11" s="103">
        <f t="shared" si="11"/>
        <v>-2.294808221136295E-2</v>
      </c>
      <c r="AB11" s="103">
        <f t="shared" si="12"/>
        <v>-0.54494741972568073</v>
      </c>
      <c r="AC11" s="103">
        <f t="shared" si="13"/>
        <v>9.3556068017645513E-3</v>
      </c>
      <c r="AD11" s="103">
        <f t="shared" si="14"/>
        <v>9.8628015335358726E-3</v>
      </c>
      <c r="AE11" s="103">
        <f t="shared" si="15"/>
        <v>-1.2622092499729588E-3</v>
      </c>
      <c r="AF11" s="115">
        <f t="shared" si="16"/>
        <v>-0.67108868905571473</v>
      </c>
      <c r="AG11" s="103">
        <f t="shared" si="17"/>
        <v>-3.5725221309560053E-2</v>
      </c>
    </row>
    <row r="12" spans="1:33" s="96" customFormat="1" ht="12" customHeight="1" x14ac:dyDescent="0.25">
      <c r="A12" s="105" t="s">
        <v>6</v>
      </c>
      <c r="B12" s="98">
        <v>20</v>
      </c>
      <c r="C12" s="99">
        <v>1.0610900000000001</v>
      </c>
      <c r="D12" s="100">
        <v>1.0593399999999999</v>
      </c>
      <c r="E12" s="101">
        <v>82.365010558587898</v>
      </c>
      <c r="F12" s="101">
        <v>22.445439919464995</v>
      </c>
      <c r="G12" s="101">
        <v>126.64855873025073</v>
      </c>
      <c r="H12" s="102">
        <v>1098.6638871633272</v>
      </c>
      <c r="I12" s="101">
        <v>22.522506578961686</v>
      </c>
      <c r="J12" s="103">
        <v>4.9173627094023358</v>
      </c>
      <c r="K12" s="90">
        <v>4.6336000402102231</v>
      </c>
      <c r="L12" s="102">
        <v>1280.4621748467587</v>
      </c>
      <c r="M12" s="101">
        <v>66.413325601383761</v>
      </c>
      <c r="O12" s="101">
        <f t="shared" si="1"/>
        <v>87.252550285134504</v>
      </c>
      <c r="P12" s="101">
        <f t="shared" si="2"/>
        <v>23.777352324286046</v>
      </c>
      <c r="Q12" s="101">
        <f t="shared" si="3"/>
        <v>134.16388420530379</v>
      </c>
      <c r="R12" s="101">
        <f t="shared" si="4"/>
        <v>1163.858602227599</v>
      </c>
      <c r="S12" s="101">
        <f t="shared" si="5"/>
        <v>23.858992119357271</v>
      </c>
      <c r="T12" s="101">
        <f t="shared" si="6"/>
        <v>5.2091590125782705</v>
      </c>
      <c r="U12" s="101">
        <f t="shared" si="7"/>
        <v>4.9085578665962979</v>
      </c>
      <c r="V12" s="101">
        <f t="shared" si="8"/>
        <v>1356.4448003021653</v>
      </c>
      <c r="W12" s="101">
        <f t="shared" si="9"/>
        <v>70.354292342569863</v>
      </c>
      <c r="X12" s="104"/>
      <c r="Y12" s="104"/>
      <c r="Z12" s="103">
        <f t="shared" si="10"/>
        <v>-1.6421893939524798E-2</v>
      </c>
      <c r="AA12" s="103">
        <f t="shared" si="11"/>
        <v>5.2840531285095756E-2</v>
      </c>
      <c r="AB12" s="103">
        <f t="shared" si="12"/>
        <v>-1.3326492338651406</v>
      </c>
      <c r="AC12" s="103">
        <f t="shared" si="13"/>
        <v>-6.6412288224916391E-2</v>
      </c>
      <c r="AD12" s="103">
        <f t="shared" si="14"/>
        <v>-1.7470425840469036E-2</v>
      </c>
      <c r="AE12" s="103">
        <f t="shared" si="15"/>
        <v>-1.5681841182008223E-2</v>
      </c>
      <c r="AF12" s="115">
        <f t="shared" si="16"/>
        <v>-1.8215357268510197</v>
      </c>
      <c r="AG12" s="103">
        <f t="shared" si="17"/>
        <v>6.7793687283500999E-3</v>
      </c>
    </row>
    <row r="13" spans="1:33" s="96" customFormat="1" ht="12" customHeight="1" x14ac:dyDescent="0.25">
      <c r="A13" s="105" t="s">
        <v>7</v>
      </c>
      <c r="B13" s="98">
        <v>23.5</v>
      </c>
      <c r="C13" s="99">
        <v>1.06081</v>
      </c>
      <c r="D13" s="100">
        <v>1.05907</v>
      </c>
      <c r="E13" s="101">
        <v>81.977986311981098</v>
      </c>
      <c r="F13" s="101">
        <v>22.300409814361867</v>
      </c>
      <c r="G13" s="101">
        <v>127.2405474383083</v>
      </c>
      <c r="H13" s="102">
        <v>1091.6037797596498</v>
      </c>
      <c r="I13" s="101">
        <v>22.278841187687817</v>
      </c>
      <c r="J13" s="103">
        <v>4.8092678156587452</v>
      </c>
      <c r="K13" s="90">
        <v>4.5366276713077749</v>
      </c>
      <c r="L13" s="102">
        <v>1274.1879738740454</v>
      </c>
      <c r="M13" s="101">
        <v>66.477723932562441</v>
      </c>
      <c r="O13" s="101">
        <f t="shared" si="1"/>
        <v>86.820425963429813</v>
      </c>
      <c r="P13" s="101">
        <f t="shared" si="2"/>
        <v>23.617695022096221</v>
      </c>
      <c r="Q13" s="101">
        <f t="shared" si="3"/>
        <v>134.75664657548916</v>
      </c>
      <c r="R13" s="101">
        <f t="shared" si="4"/>
        <v>1156.0848150300524</v>
      </c>
      <c r="S13" s="101">
        <f t="shared" si="5"/>
        <v>23.594852336644536</v>
      </c>
      <c r="T13" s="101">
        <f t="shared" si="6"/>
        <v>5.0933512655297069</v>
      </c>
      <c r="U13" s="101">
        <f t="shared" si="7"/>
        <v>4.8046062678519252</v>
      </c>
      <c r="V13" s="101">
        <f t="shared" si="8"/>
        <v>1349.4542574907853</v>
      </c>
      <c r="W13" s="101">
        <f t="shared" si="9"/>
        <v>70.4045630852589</v>
      </c>
      <c r="X13" s="104"/>
      <c r="Y13" s="104"/>
      <c r="Z13" s="103">
        <f t="shared" si="10"/>
        <v>-1.2605576651524434E-3</v>
      </c>
      <c r="AA13" s="103">
        <f t="shared" si="11"/>
        <v>3.2929402502791813E-3</v>
      </c>
      <c r="AB13" s="103">
        <f t="shared" si="12"/>
        <v>0.18157705083927539</v>
      </c>
      <c r="AC13" s="103">
        <f t="shared" si="13"/>
        <v>-3.5005252104554817E-2</v>
      </c>
      <c r="AD13" s="103">
        <f t="shared" si="14"/>
        <v>2.9618196094127948E-2</v>
      </c>
      <c r="AE13" s="103">
        <f t="shared" si="15"/>
        <v>2.4474099218216333E-2</v>
      </c>
      <c r="AF13" s="115">
        <f t="shared" si="16"/>
        <v>6.662003918396138E-2</v>
      </c>
      <c r="AG13" s="103">
        <f t="shared" si="17"/>
        <v>-1.2189585440514943E-2</v>
      </c>
    </row>
    <row r="14" spans="1:33" s="96" customFormat="1" ht="12" customHeight="1" x14ac:dyDescent="0.25">
      <c r="A14" s="105" t="s">
        <v>8</v>
      </c>
      <c r="B14" s="98">
        <v>27</v>
      </c>
      <c r="C14" s="99">
        <v>1.0608299999999999</v>
      </c>
      <c r="D14" s="100">
        <v>1.0590900000000001</v>
      </c>
      <c r="E14" s="101">
        <v>82.005015626819954</v>
      </c>
      <c r="F14" s="101">
        <v>22.288417037599903</v>
      </c>
      <c r="G14" s="101">
        <v>127.27302364326738</v>
      </c>
      <c r="H14" s="102">
        <v>1092.5832691209259</v>
      </c>
      <c r="I14" s="101">
        <v>22.146962866364316</v>
      </c>
      <c r="J14" s="103">
        <v>4.9945557080040643</v>
      </c>
      <c r="K14" s="90">
        <v>4.6897240839719849</v>
      </c>
      <c r="L14" s="102">
        <v>1274.4053163572607</v>
      </c>
      <c r="M14" s="101">
        <v>66.391122765931442</v>
      </c>
      <c r="O14" s="101">
        <f t="shared" si="1"/>
        <v>86.850692000208753</v>
      </c>
      <c r="P14" s="101">
        <f t="shared" si="2"/>
        <v>23.605439600351684</v>
      </c>
      <c r="Q14" s="101">
        <f t="shared" si="3"/>
        <v>134.79358661034806</v>
      </c>
      <c r="R14" s="101">
        <f t="shared" si="4"/>
        <v>1157.1440144932815</v>
      </c>
      <c r="S14" s="101">
        <f t="shared" si="5"/>
        <v>23.455626902137784</v>
      </c>
      <c r="T14" s="101">
        <f t="shared" si="6"/>
        <v>5.2896840047900247</v>
      </c>
      <c r="U14" s="101">
        <f t="shared" si="7"/>
        <v>4.9668398800938895</v>
      </c>
      <c r="V14" s="101">
        <f t="shared" si="8"/>
        <v>1349.7099265008114</v>
      </c>
      <c r="W14" s="101">
        <f t="shared" si="9"/>
        <v>70.314174210170336</v>
      </c>
      <c r="X14" s="104"/>
      <c r="Y14" s="104"/>
      <c r="Z14" s="103">
        <f t="shared" si="10"/>
        <v>-3.4350974578483476E-2</v>
      </c>
      <c r="AA14" s="103">
        <f t="shared" si="11"/>
        <v>-0.27743384863952919</v>
      </c>
      <c r="AB14" s="103">
        <f t="shared" si="12"/>
        <v>-4.1695305591582326</v>
      </c>
      <c r="AC14" s="103">
        <f t="shared" si="13"/>
        <v>-8.9253751328540826E-2</v>
      </c>
      <c r="AD14" s="103">
        <f t="shared" si="14"/>
        <v>4.4034211303378319E-2</v>
      </c>
      <c r="AE14" s="103">
        <f t="shared" si="15"/>
        <v>3.7658291058688391E-2</v>
      </c>
      <c r="AF14" s="115">
        <f t="shared" si="16"/>
        <v>-7.2748307664099672</v>
      </c>
      <c r="AG14" s="103">
        <f t="shared" si="17"/>
        <v>-0.26486838831030868</v>
      </c>
    </row>
    <row r="15" spans="1:33" s="96" customFormat="1" ht="12" customHeight="1" x14ac:dyDescent="0.25">
      <c r="A15" s="105" t="s">
        <v>9</v>
      </c>
      <c r="B15" s="98">
        <v>30.5</v>
      </c>
      <c r="C15" s="99">
        <v>1.0595399999999999</v>
      </c>
      <c r="D15" s="99">
        <v>1.0578099999999999</v>
      </c>
      <c r="E15" s="101">
        <v>80.375334034737151</v>
      </c>
      <c r="F15" s="101">
        <v>21.999670821744701</v>
      </c>
      <c r="G15" s="101">
        <v>124.48487717424366</v>
      </c>
      <c r="H15" s="102">
        <v>1070.9123121337404</v>
      </c>
      <c r="I15" s="101">
        <v>21.838175467401516</v>
      </c>
      <c r="J15" s="103">
        <v>5.2765406367210019</v>
      </c>
      <c r="K15" s="90">
        <v>4.9313853181569369</v>
      </c>
      <c r="L15" s="102">
        <v>1249.5544266712254</v>
      </c>
      <c r="M15" s="101">
        <v>64.614730217551966</v>
      </c>
      <c r="O15" s="101">
        <f t="shared" si="1"/>
        <v>85.021832095285305</v>
      </c>
      <c r="P15" s="101">
        <f t="shared" si="2"/>
        <v>23.271471791949761</v>
      </c>
      <c r="Q15" s="101">
        <f t="shared" si="3"/>
        <v>131.68134792368667</v>
      </c>
      <c r="R15" s="101">
        <f t="shared" si="4"/>
        <v>1132.8217528981918</v>
      </c>
      <c r="S15" s="101">
        <f t="shared" si="5"/>
        <v>23.100640391171996</v>
      </c>
      <c r="T15" s="101">
        <f t="shared" si="6"/>
        <v>5.581577450929843</v>
      </c>
      <c r="U15" s="101">
        <f t="shared" si="7"/>
        <v>5.2164687033995891</v>
      </c>
      <c r="V15" s="101">
        <f t="shared" si="8"/>
        <v>1321.791168077089</v>
      </c>
      <c r="W15" s="101">
        <f t="shared" si="9"/>
        <v>68.35010777142864</v>
      </c>
      <c r="X15" s="104"/>
      <c r="Y15" s="104"/>
      <c r="Z15" s="131">
        <f t="shared" si="10"/>
        <v>0.27467966705252178</v>
      </c>
      <c r="AA15" s="131">
        <f t="shared" si="11"/>
        <v>1.347035427940664</v>
      </c>
      <c r="AB15" s="131">
        <f t="shared" si="12"/>
        <v>22.285018089800495</v>
      </c>
      <c r="AC15" s="131">
        <f t="shared" si="13"/>
        <v>0.66651028013873315</v>
      </c>
      <c r="AD15" s="131">
        <f t="shared" si="14"/>
        <v>9.6625340789867453E-2</v>
      </c>
      <c r="AE15" s="131">
        <f t="shared" si="15"/>
        <v>9.0304769685081429E-2</v>
      </c>
      <c r="AF15" s="131">
        <f t="shared" si="16"/>
        <v>39.523722796272303</v>
      </c>
      <c r="AG15" s="131">
        <f t="shared" si="17"/>
        <v>1.0577459301021088</v>
      </c>
    </row>
    <row r="16" spans="1:33" s="96" customFormat="1" ht="12" customHeight="1" x14ac:dyDescent="0.25"/>
    <row r="17" spans="1:34" s="96" customFormat="1" ht="12" customHeight="1" x14ac:dyDescent="0.25"/>
    <row r="18" spans="1:34" s="96" customFormat="1" ht="12" customHeight="1" x14ac:dyDescent="0.25">
      <c r="A18" s="94" t="s">
        <v>26</v>
      </c>
      <c r="B18" s="76"/>
      <c r="C18" s="97"/>
      <c r="D18" s="97" t="s">
        <v>91</v>
      </c>
      <c r="E18" s="41"/>
      <c r="F18" s="41"/>
      <c r="G18" s="41"/>
      <c r="H18" s="41"/>
      <c r="I18" s="94"/>
      <c r="J18" s="94"/>
      <c r="K18" s="94"/>
      <c r="L18" s="76"/>
      <c r="M18" s="76"/>
      <c r="N18" s="76"/>
      <c r="O18" s="76"/>
      <c r="P18" s="76"/>
      <c r="Q18" s="76"/>
    </row>
    <row r="19" spans="1:34" s="96" customFormat="1" ht="12" customHeight="1" x14ac:dyDescent="0.25">
      <c r="A19" s="76" t="s">
        <v>27</v>
      </c>
      <c r="B19" s="54"/>
      <c r="C19" s="95"/>
      <c r="D19" s="95"/>
      <c r="E19" s="54" t="s">
        <v>88</v>
      </c>
      <c r="F19" s="76"/>
      <c r="G19" s="57" t="s">
        <v>86</v>
      </c>
      <c r="H19" s="41"/>
      <c r="I19" s="95"/>
      <c r="J19" s="57" t="s">
        <v>86</v>
      </c>
      <c r="K19" s="116" t="s">
        <v>89</v>
      </c>
      <c r="L19" s="116" t="s">
        <v>90</v>
      </c>
      <c r="M19" s="117" t="s">
        <v>51</v>
      </c>
      <c r="N19" s="73" t="s">
        <v>81</v>
      </c>
      <c r="P19" s="94" t="s">
        <v>96</v>
      </c>
      <c r="Q19" s="76"/>
      <c r="R19" s="97"/>
      <c r="S19" s="97"/>
      <c r="T19" s="97"/>
      <c r="V19" s="109"/>
      <c r="W19" s="16"/>
      <c r="X19" s="16"/>
      <c r="Y19" s="17"/>
      <c r="Z19" s="16"/>
      <c r="AA19" s="16"/>
      <c r="AB19" s="16"/>
      <c r="AC19" s="16"/>
      <c r="AD19" s="16"/>
      <c r="AE19" s="17"/>
      <c r="AF19" s="18"/>
      <c r="AG19" s="18"/>
      <c r="AH19" s="18"/>
    </row>
    <row r="20" spans="1:34" s="96" customFormat="1" ht="12" customHeight="1" x14ac:dyDescent="0.25">
      <c r="A20" s="94"/>
      <c r="B20" s="54"/>
      <c r="C20" s="95"/>
      <c r="D20" s="95"/>
      <c r="E20" s="54"/>
      <c r="F20" s="76"/>
      <c r="G20" s="76" t="s">
        <v>85</v>
      </c>
      <c r="H20" s="41"/>
      <c r="I20" s="94"/>
      <c r="J20" s="116" t="s">
        <v>80</v>
      </c>
      <c r="K20" s="26" t="s">
        <v>47</v>
      </c>
      <c r="L20" s="73" t="s">
        <v>54</v>
      </c>
      <c r="M20" s="107"/>
      <c r="N20" s="95" t="s">
        <v>82</v>
      </c>
      <c r="P20" s="76" t="s">
        <v>28</v>
      </c>
      <c r="Q20" s="76" t="s">
        <v>29</v>
      </c>
      <c r="R20" s="54" t="s">
        <v>30</v>
      </c>
      <c r="S20" s="97"/>
      <c r="T20" s="76"/>
      <c r="V20" s="45"/>
      <c r="W20" s="20"/>
      <c r="X20" s="16"/>
      <c r="Y20" s="20"/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s="96" customFormat="1" ht="12" customHeight="1" x14ac:dyDescent="0.25">
      <c r="A21" s="94"/>
      <c r="B21" s="54" t="s">
        <v>31</v>
      </c>
      <c r="C21" s="54" t="s">
        <v>32</v>
      </c>
      <c r="D21" s="54" t="s">
        <v>33</v>
      </c>
      <c r="E21" s="54" t="s">
        <v>83</v>
      </c>
      <c r="F21" s="54"/>
      <c r="G21" s="76" t="s">
        <v>87</v>
      </c>
      <c r="H21" s="41"/>
      <c r="I21" s="94"/>
      <c r="J21" s="116" t="s">
        <v>62</v>
      </c>
      <c r="K21" s="107"/>
      <c r="L21" s="40"/>
      <c r="M21" s="95" t="s">
        <v>62</v>
      </c>
      <c r="N21" s="95" t="s">
        <v>72</v>
      </c>
      <c r="P21" s="94"/>
      <c r="Q21" s="76" t="s">
        <v>35</v>
      </c>
      <c r="R21" s="97" t="s">
        <v>36</v>
      </c>
      <c r="S21" s="97" t="s">
        <v>37</v>
      </c>
      <c r="T21" s="76"/>
      <c r="V21" s="45"/>
      <c r="W21" s="22"/>
      <c r="X21" s="16"/>
      <c r="Y21" s="20"/>
      <c r="Z21" s="20"/>
      <c r="AA21" s="20"/>
      <c r="AB21" s="20"/>
      <c r="AC21" s="23"/>
      <c r="AD21" s="23"/>
      <c r="AE21" s="24"/>
      <c r="AF21" s="23"/>
      <c r="AG21" s="23"/>
      <c r="AH21" s="23"/>
    </row>
    <row r="22" spans="1:34" s="96" customFormat="1" ht="12" customHeight="1" x14ac:dyDescent="0.25">
      <c r="A22" s="121" t="s">
        <v>23</v>
      </c>
      <c r="B22" s="122">
        <v>9.6</v>
      </c>
      <c r="C22" s="123">
        <v>0.438</v>
      </c>
      <c r="D22" s="123">
        <v>25</v>
      </c>
      <c r="E22" s="122">
        <f>B22+(C22*D22)</f>
        <v>20.549999999999997</v>
      </c>
      <c r="F22" s="124" t="s">
        <v>84</v>
      </c>
      <c r="G22" s="125">
        <f t="shared" ref="G22:G25" si="18">E22*0.9319</f>
        <v>19.150544999999997</v>
      </c>
      <c r="H22" s="124" t="s">
        <v>84</v>
      </c>
      <c r="I22" s="125"/>
      <c r="J22" s="125">
        <f>(G22*60*60*24/1000000)</f>
        <v>1.6546070879999994</v>
      </c>
      <c r="K22" s="126">
        <v>0.8</v>
      </c>
      <c r="L22" s="127">
        <f>1-LN(K22^2)</f>
        <v>1.4462871026284194</v>
      </c>
      <c r="M22" s="128">
        <f>J22/L22</f>
        <v>1.1440377812904425</v>
      </c>
      <c r="N22" s="129">
        <f>(M22*60*60/1000000)</f>
        <v>4.1185360126455928E-3</v>
      </c>
      <c r="P22" s="41" t="s">
        <v>23</v>
      </c>
      <c r="Q22" s="106">
        <v>9.1300000000000008</v>
      </c>
      <c r="R22" s="106">
        <v>11.2</v>
      </c>
      <c r="S22" s="106">
        <v>13.2</v>
      </c>
      <c r="T22" s="54" t="s">
        <v>30</v>
      </c>
      <c r="V22" s="63"/>
      <c r="W22" s="22"/>
      <c r="X22" s="16"/>
      <c r="Y22" s="23"/>
      <c r="Z22" s="26"/>
      <c r="AA22" s="27"/>
      <c r="AB22" s="27"/>
      <c r="AC22" s="23"/>
      <c r="AD22" s="23"/>
      <c r="AE22" s="28"/>
      <c r="AF22" s="27"/>
      <c r="AG22" s="27"/>
      <c r="AH22" s="27"/>
    </row>
    <row r="23" spans="1:34" s="96" customFormat="1" ht="12" customHeight="1" x14ac:dyDescent="0.25">
      <c r="A23" s="41" t="s">
        <v>38</v>
      </c>
      <c r="B23" s="106">
        <v>4.88</v>
      </c>
      <c r="C23" s="76">
        <v>0.23200000000000001</v>
      </c>
      <c r="D23" s="76">
        <v>25</v>
      </c>
      <c r="E23" s="106">
        <f t="shared" ref="E23:E34" si="19">B23+(C23*D23)</f>
        <v>10.68</v>
      </c>
      <c r="F23" s="54" t="s">
        <v>34</v>
      </c>
      <c r="G23" s="94">
        <f t="shared" si="18"/>
        <v>9.952691999999999</v>
      </c>
      <c r="H23" s="54" t="s">
        <v>34</v>
      </c>
      <c r="I23" s="94"/>
      <c r="J23" s="94">
        <f>(G23*60*60*24/1000000)</f>
        <v>0.85991258879999977</v>
      </c>
      <c r="K23" s="42">
        <v>0.8</v>
      </c>
      <c r="L23" s="120">
        <f t="shared" ref="L23:L25" si="20">1-LN(K23^2)</f>
        <v>1.4462871026284194</v>
      </c>
      <c r="M23" s="103">
        <f>J23/L23</f>
        <v>0.59456562064145624</v>
      </c>
      <c r="P23" s="41" t="s">
        <v>38</v>
      </c>
      <c r="Q23" s="106">
        <v>4.6399999999999997</v>
      </c>
      <c r="R23" s="106">
        <v>5.72</v>
      </c>
      <c r="S23" s="106">
        <v>6.79</v>
      </c>
      <c r="T23" s="54" t="s">
        <v>30</v>
      </c>
      <c r="V23" s="45"/>
      <c r="W23" s="27"/>
      <c r="X23" s="16"/>
      <c r="Y23" s="23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96" customFormat="1" ht="12" customHeight="1" x14ac:dyDescent="0.25">
      <c r="A24" s="41" t="s">
        <v>39</v>
      </c>
      <c r="B24" s="106">
        <v>5.0599999999999996</v>
      </c>
      <c r="C24" s="76">
        <v>0.27500000000000002</v>
      </c>
      <c r="D24" s="76">
        <v>25</v>
      </c>
      <c r="E24" s="106">
        <f t="shared" si="19"/>
        <v>11.935</v>
      </c>
      <c r="F24" s="54" t="s">
        <v>34</v>
      </c>
      <c r="G24" s="94">
        <f t="shared" si="18"/>
        <v>11.1222265</v>
      </c>
      <c r="H24" s="54" t="s">
        <v>34</v>
      </c>
      <c r="I24" s="94"/>
      <c r="J24" s="94">
        <f>(G24*60*60*24/1000000)</f>
        <v>0.96096036959999986</v>
      </c>
      <c r="K24" s="42">
        <v>0.8</v>
      </c>
      <c r="L24" s="120">
        <f t="shared" si="20"/>
        <v>1.4462871026284194</v>
      </c>
      <c r="M24" s="103">
        <f>J24/L24</f>
        <v>0.66443264816065373</v>
      </c>
      <c r="P24" s="41" t="s">
        <v>39</v>
      </c>
      <c r="Q24" s="106">
        <v>4.8099999999999996</v>
      </c>
      <c r="R24" s="106">
        <v>6.09</v>
      </c>
      <c r="S24" s="106">
        <v>7.37</v>
      </c>
      <c r="T24" s="54" t="s">
        <v>30</v>
      </c>
      <c r="V24" s="16"/>
      <c r="W24" s="29"/>
      <c r="X24" s="16"/>
      <c r="Y24" s="29"/>
      <c r="Z24" s="30"/>
      <c r="AA24" s="30"/>
      <c r="AB24" s="30"/>
      <c r="AC24" s="30"/>
      <c r="AD24" s="31"/>
      <c r="AE24" s="32"/>
      <c r="AF24" s="18"/>
      <c r="AG24" s="16"/>
      <c r="AH24" s="110"/>
    </row>
    <row r="25" spans="1:34" s="96" customFormat="1" ht="12" customHeight="1" x14ac:dyDescent="0.25">
      <c r="A25" s="41" t="s">
        <v>40</v>
      </c>
      <c r="B25" s="106">
        <v>4.33</v>
      </c>
      <c r="C25" s="76">
        <v>0.19900000000000001</v>
      </c>
      <c r="D25" s="76">
        <v>25</v>
      </c>
      <c r="E25" s="106">
        <f t="shared" si="19"/>
        <v>9.3049999999999997</v>
      </c>
      <c r="F25" s="54" t="s">
        <v>34</v>
      </c>
      <c r="G25" s="94">
        <f t="shared" si="18"/>
        <v>8.6713294999999988</v>
      </c>
      <c r="H25" s="54" t="s">
        <v>34</v>
      </c>
      <c r="I25" s="94"/>
      <c r="J25" s="94">
        <f>(G25*60*60*24/1000000)</f>
        <v>0.74920286879999987</v>
      </c>
      <c r="K25" s="42">
        <v>0.8</v>
      </c>
      <c r="L25" s="120">
        <f t="shared" si="20"/>
        <v>1.4462871026284194</v>
      </c>
      <c r="M25" s="103">
        <f>J25/L25</f>
        <v>0.51801808053078191</v>
      </c>
      <c r="P25" s="41" t="s">
        <v>40</v>
      </c>
      <c r="Q25" s="106">
        <v>4.12</v>
      </c>
      <c r="R25" s="106">
        <v>5.04</v>
      </c>
      <c r="S25" s="106">
        <v>5.96</v>
      </c>
      <c r="T25" s="54" t="s">
        <v>30</v>
      </c>
      <c r="V25" s="30"/>
      <c r="W25" s="33"/>
      <c r="X25" s="34"/>
      <c r="Y25" s="18"/>
      <c r="Z25" s="16"/>
      <c r="AA25" s="18"/>
      <c r="AB25" s="35"/>
      <c r="AC25" s="36"/>
      <c r="AD25" s="36"/>
      <c r="AE25" s="37"/>
      <c r="AF25" s="18"/>
      <c r="AG25" s="17"/>
      <c r="AH25" s="111"/>
    </row>
    <row r="26" spans="1:34" s="96" customFormat="1" ht="12" customHeight="1" x14ac:dyDescent="0.25">
      <c r="A26" s="41"/>
      <c r="B26" s="106"/>
      <c r="C26" s="76"/>
      <c r="D26" s="76"/>
      <c r="E26" s="106"/>
      <c r="F26" s="76"/>
      <c r="G26" s="41"/>
      <c r="I26" s="41"/>
      <c r="J26" s="94"/>
      <c r="K26" s="42"/>
      <c r="L26" s="120"/>
      <c r="M26" s="103"/>
      <c r="P26" s="41"/>
      <c r="Q26" s="106"/>
      <c r="R26" s="106"/>
      <c r="S26" s="106"/>
      <c r="T26" s="76"/>
      <c r="V26" s="16"/>
      <c r="W26" s="33"/>
      <c r="X26" s="34"/>
      <c r="Y26" s="18"/>
      <c r="Z26" s="16"/>
      <c r="AA26" s="18"/>
      <c r="AB26" s="35"/>
      <c r="AC26" s="36"/>
      <c r="AD26" s="36"/>
      <c r="AE26" s="38"/>
      <c r="AF26" s="18"/>
      <c r="AG26" s="16"/>
      <c r="AH26" s="112"/>
    </row>
    <row r="27" spans="1:34" s="96" customFormat="1" ht="12" customHeight="1" x14ac:dyDescent="0.25">
      <c r="A27" s="41" t="s">
        <v>17</v>
      </c>
      <c r="B27" s="106">
        <v>6.06</v>
      </c>
      <c r="C27" s="76">
        <v>0.29699999999999999</v>
      </c>
      <c r="D27" s="76">
        <v>25</v>
      </c>
      <c r="E27" s="106">
        <f t="shared" si="19"/>
        <v>13.484999999999999</v>
      </c>
      <c r="F27" s="54" t="s">
        <v>34</v>
      </c>
      <c r="G27" s="94">
        <f t="shared" ref="G27:G31" si="21">E27*0.9319</f>
        <v>12.566671499999998</v>
      </c>
      <c r="H27" s="54" t="s">
        <v>34</v>
      </c>
      <c r="I27" s="94"/>
      <c r="J27" s="94">
        <f>(G27*60*60*24/1000000)</f>
        <v>1.0857604175999997</v>
      </c>
      <c r="K27" s="42">
        <v>0.8</v>
      </c>
      <c r="L27" s="120">
        <f t="shared" ref="L27:L31" si="22">1-LN(K27^2)</f>
        <v>1.4462871026284194</v>
      </c>
      <c r="M27" s="103">
        <f>J27/L27</f>
        <v>0.7507226024672321</v>
      </c>
      <c r="P27" s="41" t="s">
        <v>17</v>
      </c>
      <c r="Q27" s="106">
        <v>5.76</v>
      </c>
      <c r="R27" s="106">
        <v>7.15</v>
      </c>
      <c r="S27" s="106">
        <v>8.52</v>
      </c>
      <c r="T27" s="54" t="s">
        <v>30</v>
      </c>
      <c r="V27" s="30"/>
      <c r="W27" s="33"/>
      <c r="X27" s="34"/>
      <c r="Y27" s="18"/>
      <c r="Z27" s="16"/>
      <c r="AA27" s="18"/>
      <c r="AB27" s="35"/>
      <c r="AC27" s="36"/>
      <c r="AD27" s="36"/>
      <c r="AE27" s="37"/>
      <c r="AF27" s="17"/>
      <c r="AG27" s="16"/>
      <c r="AH27" s="111"/>
    </row>
    <row r="28" spans="1:34" s="96" customFormat="1" ht="12" customHeight="1" x14ac:dyDescent="0.25">
      <c r="A28" s="41" t="s">
        <v>18</v>
      </c>
      <c r="B28" s="106">
        <v>9.5500000000000007</v>
      </c>
      <c r="C28" s="76">
        <v>0.40899999999999997</v>
      </c>
      <c r="D28" s="76">
        <v>25</v>
      </c>
      <c r="E28" s="106">
        <f t="shared" si="19"/>
        <v>19.774999999999999</v>
      </c>
      <c r="F28" s="54" t="s">
        <v>34</v>
      </c>
      <c r="G28" s="94">
        <f t="shared" si="21"/>
        <v>18.428322499999997</v>
      </c>
      <c r="H28" s="54" t="s">
        <v>34</v>
      </c>
      <c r="I28" s="94"/>
      <c r="J28" s="94">
        <f>(G28*60*60*24/1000000)</f>
        <v>1.5922070639999997</v>
      </c>
      <c r="K28" s="42">
        <v>0.8</v>
      </c>
      <c r="L28" s="120">
        <f t="shared" si="22"/>
        <v>1.4462871026284194</v>
      </c>
      <c r="M28" s="103">
        <f>J28/L28</f>
        <v>1.1008928041371535</v>
      </c>
      <c r="P28" s="41" t="s">
        <v>18</v>
      </c>
      <c r="Q28" s="106">
        <v>9.08</v>
      </c>
      <c r="R28" s="106">
        <v>11</v>
      </c>
      <c r="S28" s="106">
        <v>12.9</v>
      </c>
      <c r="T28" s="54" t="s">
        <v>30</v>
      </c>
      <c r="V28" s="16"/>
      <c r="W28" s="18"/>
      <c r="X28" s="18"/>
      <c r="Y28" s="18"/>
      <c r="Z28" s="16"/>
      <c r="AA28" s="16"/>
      <c r="AB28" s="16"/>
      <c r="AC28" s="18"/>
      <c r="AD28" s="39"/>
      <c r="AE28" s="38"/>
      <c r="AF28" s="40"/>
      <c r="AG28" s="40"/>
      <c r="AH28" s="112"/>
    </row>
    <row r="29" spans="1:34" s="96" customFormat="1" ht="12" customHeight="1" x14ac:dyDescent="0.25">
      <c r="A29" s="41" t="s">
        <v>16</v>
      </c>
      <c r="B29" s="106">
        <v>3.43</v>
      </c>
      <c r="C29" s="76">
        <v>0.14399999999999999</v>
      </c>
      <c r="D29" s="76">
        <v>25</v>
      </c>
      <c r="E29" s="106">
        <f t="shared" si="19"/>
        <v>7.0299999999999994</v>
      </c>
      <c r="F29" s="54" t="s">
        <v>34</v>
      </c>
      <c r="G29" s="94">
        <f t="shared" si="21"/>
        <v>6.5512569999999988</v>
      </c>
      <c r="H29" s="54" t="s">
        <v>34</v>
      </c>
      <c r="I29" s="94"/>
      <c r="J29" s="94">
        <f>(G29*60*60*24/1000000)</f>
        <v>0.56602860479999983</v>
      </c>
      <c r="K29" s="42">
        <v>0.8</v>
      </c>
      <c r="L29" s="120">
        <f t="shared" si="22"/>
        <v>1.4462871026284194</v>
      </c>
      <c r="M29" s="103">
        <f>J29/L29</f>
        <v>0.39136669598402973</v>
      </c>
      <c r="P29" s="41" t="s">
        <v>16</v>
      </c>
      <c r="Q29" s="106">
        <v>3.26</v>
      </c>
      <c r="R29" s="106">
        <v>3.93</v>
      </c>
      <c r="S29" s="106">
        <v>4.5999999999999996</v>
      </c>
      <c r="T29" s="54" t="s">
        <v>30</v>
      </c>
      <c r="V29" s="16"/>
      <c r="W29" s="16"/>
      <c r="X29" s="16"/>
      <c r="Y29" s="17"/>
      <c r="Z29" s="16"/>
      <c r="AA29" s="16"/>
      <c r="AB29" s="16"/>
      <c r="AC29" s="113"/>
      <c r="AD29" s="114"/>
      <c r="AE29" s="37"/>
      <c r="AF29" s="113"/>
      <c r="AG29" s="114"/>
      <c r="AH29" s="111"/>
    </row>
    <row r="30" spans="1:34" s="96" customFormat="1" ht="12" customHeight="1" x14ac:dyDescent="0.25">
      <c r="A30" s="41" t="s">
        <v>15</v>
      </c>
      <c r="B30" s="106">
        <v>3.6</v>
      </c>
      <c r="C30" s="76">
        <v>0.17899999999999999</v>
      </c>
      <c r="D30" s="76">
        <v>25</v>
      </c>
      <c r="E30" s="106">
        <f t="shared" si="19"/>
        <v>8.0749999999999993</v>
      </c>
      <c r="F30" s="54" t="s">
        <v>34</v>
      </c>
      <c r="G30" s="94">
        <f t="shared" si="21"/>
        <v>7.5250924999999986</v>
      </c>
      <c r="H30" s="54" t="s">
        <v>34</v>
      </c>
      <c r="I30" s="94"/>
      <c r="J30" s="94">
        <f>(G30*60*60*24/1000000)</f>
        <v>0.65016799199999986</v>
      </c>
      <c r="K30" s="42">
        <v>0.8</v>
      </c>
      <c r="L30" s="120">
        <f t="shared" si="22"/>
        <v>1.4462871026284194</v>
      </c>
      <c r="M30" s="103">
        <f>J30/L30</f>
        <v>0.44954282646814231</v>
      </c>
      <c r="P30" s="41" t="s">
        <v>15</v>
      </c>
      <c r="Q30" s="106">
        <v>3.42</v>
      </c>
      <c r="R30" s="106">
        <v>4.26</v>
      </c>
      <c r="S30" s="106">
        <v>5.09</v>
      </c>
      <c r="T30" s="54" t="s">
        <v>30</v>
      </c>
      <c r="V30" s="108" t="s">
        <v>93</v>
      </c>
      <c r="W30" s="41"/>
      <c r="X30" s="41"/>
      <c r="Y30" s="42"/>
      <c r="Z30" s="41"/>
      <c r="AA30" s="41"/>
      <c r="AB30" s="41"/>
      <c r="AC30" s="41"/>
      <c r="AD30" s="41"/>
      <c r="AE30" s="42"/>
      <c r="AF30" s="43"/>
      <c r="AG30" s="43"/>
      <c r="AH30" s="43"/>
    </row>
    <row r="31" spans="1:34" s="96" customFormat="1" ht="12" customHeight="1" x14ac:dyDescent="0.25">
      <c r="A31" s="41" t="s">
        <v>41</v>
      </c>
      <c r="B31" s="106">
        <v>9.5</v>
      </c>
      <c r="C31" s="76">
        <v>0.41299999999999998</v>
      </c>
      <c r="D31" s="76">
        <v>25</v>
      </c>
      <c r="E31" s="106">
        <f t="shared" si="19"/>
        <v>19.824999999999999</v>
      </c>
      <c r="F31" s="54" t="s">
        <v>34</v>
      </c>
      <c r="G31" s="94">
        <f t="shared" si="21"/>
        <v>18.4749175</v>
      </c>
      <c r="H31" s="54" t="s">
        <v>34</v>
      </c>
      <c r="I31" s="94"/>
      <c r="J31" s="94">
        <f>(G31*60*60*24/1000000)</f>
        <v>1.5962328720000001</v>
      </c>
      <c r="K31" s="42">
        <v>0.8</v>
      </c>
      <c r="L31" s="120">
        <f t="shared" si="22"/>
        <v>1.4462871026284194</v>
      </c>
      <c r="M31" s="103">
        <f>J31/L31</f>
        <v>1.1036763510502692</v>
      </c>
      <c r="P31" s="41" t="s">
        <v>41</v>
      </c>
      <c r="Q31" s="106">
        <v>9.0299999999999994</v>
      </c>
      <c r="R31" s="106">
        <v>11</v>
      </c>
      <c r="S31" s="106">
        <v>12.9</v>
      </c>
      <c r="T31" s="54" t="s">
        <v>30</v>
      </c>
      <c r="V31" s="50" t="s">
        <v>92</v>
      </c>
      <c r="W31" s="51"/>
      <c r="X31" s="52" t="s">
        <v>44</v>
      </c>
      <c r="Y31" s="51"/>
      <c r="Z31" s="53"/>
      <c r="AA31" s="54"/>
      <c r="AB31" s="55" t="s">
        <v>90</v>
      </c>
      <c r="AC31" s="51"/>
      <c r="AD31" s="56"/>
      <c r="AE31" s="57"/>
      <c r="AF31" s="50" t="s">
        <v>94</v>
      </c>
      <c r="AG31" s="58"/>
      <c r="AH31" s="53"/>
    </row>
    <row r="32" spans="1:34" s="96" customFormat="1" ht="12" customHeight="1" x14ac:dyDescent="0.25">
      <c r="A32" s="76"/>
      <c r="B32" s="106"/>
      <c r="C32" s="76"/>
      <c r="D32" s="76"/>
      <c r="E32" s="106"/>
      <c r="F32" s="76"/>
      <c r="G32" s="76"/>
      <c r="H32" s="41"/>
      <c r="I32" s="41"/>
      <c r="J32" s="94"/>
      <c r="K32" s="42"/>
      <c r="L32" s="120"/>
      <c r="M32" s="103"/>
      <c r="P32" s="76"/>
      <c r="Q32" s="106"/>
      <c r="R32" s="106"/>
      <c r="S32" s="106"/>
      <c r="T32" s="76"/>
      <c r="V32" s="59"/>
      <c r="W32" s="57"/>
      <c r="X32" s="45"/>
      <c r="Y32" s="57"/>
      <c r="Z32" s="60"/>
      <c r="AA32" s="54"/>
      <c r="AB32" s="61"/>
      <c r="AC32" s="57"/>
      <c r="AD32" s="62"/>
      <c r="AE32" s="57"/>
      <c r="AF32" s="59"/>
      <c r="AG32" s="63"/>
      <c r="AH32" s="60"/>
    </row>
    <row r="33" spans="1:35" s="96" customFormat="1" ht="12" customHeight="1" x14ac:dyDescent="0.25">
      <c r="A33" s="41" t="s">
        <v>42</v>
      </c>
      <c r="B33" s="106"/>
      <c r="C33" s="76"/>
      <c r="D33" s="76"/>
      <c r="E33" s="106"/>
      <c r="F33" s="54"/>
      <c r="G33" s="94"/>
      <c r="H33" s="41"/>
      <c r="I33" s="94"/>
      <c r="J33" s="94"/>
      <c r="K33" s="42"/>
      <c r="L33" s="120"/>
      <c r="M33" s="103"/>
      <c r="P33" s="41" t="s">
        <v>43</v>
      </c>
      <c r="Q33" s="106">
        <v>4.59</v>
      </c>
      <c r="R33" s="106">
        <v>5.67</v>
      </c>
      <c r="S33" s="106">
        <v>6.76</v>
      </c>
      <c r="T33" s="54" t="s">
        <v>30</v>
      </c>
      <c r="V33" s="25" t="s">
        <v>48</v>
      </c>
      <c r="W33" s="64" t="s">
        <v>49</v>
      </c>
      <c r="X33" s="57"/>
      <c r="Y33" s="65"/>
      <c r="Z33" s="66"/>
      <c r="AA33" s="54"/>
      <c r="AB33" s="67" t="s">
        <v>50</v>
      </c>
      <c r="AC33" s="57"/>
      <c r="AD33" s="66"/>
      <c r="AE33" s="57"/>
      <c r="AF33" s="68" t="s">
        <v>51</v>
      </c>
      <c r="AG33" s="63"/>
      <c r="AH33" s="60"/>
    </row>
    <row r="34" spans="1:35" s="96" customFormat="1" ht="12" customHeight="1" x14ac:dyDescent="0.25">
      <c r="A34" s="41" t="s">
        <v>44</v>
      </c>
      <c r="B34" s="106">
        <v>2.62</v>
      </c>
      <c r="C34" s="76">
        <v>0.14299999999999999</v>
      </c>
      <c r="D34" s="76">
        <v>25</v>
      </c>
      <c r="E34" s="106">
        <f t="shared" si="19"/>
        <v>6.1950000000000003</v>
      </c>
      <c r="F34" s="54" t="s">
        <v>34</v>
      </c>
      <c r="G34" s="94">
        <f>E34*0.9319</f>
        <v>5.7731205000000001</v>
      </c>
      <c r="H34" s="54" t="s">
        <v>34</v>
      </c>
      <c r="I34" s="94"/>
      <c r="J34" s="94">
        <f>(G34*60*60*24/1000000)</f>
        <v>0.49879761119999994</v>
      </c>
      <c r="K34" s="42">
        <v>0.8</v>
      </c>
      <c r="L34" s="120">
        <f>1-LN(K34^2)</f>
        <v>1.4462871026284194</v>
      </c>
      <c r="M34" s="103">
        <f>J34/L34</f>
        <v>0.34488146253500207</v>
      </c>
      <c r="P34" s="41" t="s">
        <v>44</v>
      </c>
      <c r="Q34" s="106">
        <v>2.4900000000000002</v>
      </c>
      <c r="R34" s="106">
        <v>3.16</v>
      </c>
      <c r="S34" s="106">
        <v>3.82</v>
      </c>
      <c r="T34" s="54" t="s">
        <v>30</v>
      </c>
      <c r="V34" s="69"/>
      <c r="W34" s="63"/>
      <c r="X34" s="65"/>
      <c r="Y34" s="65"/>
      <c r="Z34" s="66"/>
      <c r="AA34" s="64"/>
      <c r="AB34" s="70"/>
      <c r="AC34" s="45"/>
      <c r="AD34" s="60"/>
      <c r="AE34" s="57"/>
      <c r="AF34" s="69"/>
      <c r="AG34" s="44"/>
      <c r="AH34" s="60"/>
      <c r="AI34" s="107"/>
    </row>
    <row r="35" spans="1:35" s="96" customFormat="1" ht="12" customHeight="1" x14ac:dyDescent="0.25">
      <c r="A35" s="41" t="s">
        <v>45</v>
      </c>
      <c r="B35" s="76"/>
      <c r="C35" s="97"/>
      <c r="D35" s="97"/>
      <c r="E35" s="41"/>
      <c r="F35" s="41"/>
      <c r="G35" s="41"/>
      <c r="H35" s="41"/>
      <c r="I35" s="94"/>
      <c r="J35" s="94"/>
      <c r="K35" s="94"/>
      <c r="L35" s="35"/>
      <c r="P35" s="41" t="s">
        <v>45</v>
      </c>
      <c r="Q35" s="106">
        <v>10</v>
      </c>
      <c r="R35" s="97">
        <v>12.3</v>
      </c>
      <c r="S35" s="106">
        <v>14.6</v>
      </c>
      <c r="T35" s="54" t="s">
        <v>30</v>
      </c>
      <c r="V35" s="25" t="s">
        <v>31</v>
      </c>
      <c r="W35" s="63" t="s">
        <v>32</v>
      </c>
      <c r="X35" s="63" t="s">
        <v>33</v>
      </c>
      <c r="Y35" s="63" t="s">
        <v>52</v>
      </c>
      <c r="Z35" s="71" t="s">
        <v>53</v>
      </c>
      <c r="AA35" s="54"/>
      <c r="AB35" s="72" t="s">
        <v>47</v>
      </c>
      <c r="AC35" s="73" t="s">
        <v>54</v>
      </c>
      <c r="AD35" s="60"/>
      <c r="AE35" s="57"/>
      <c r="AF35" s="74" t="s">
        <v>55</v>
      </c>
      <c r="AG35" s="57"/>
      <c r="AH35" s="75"/>
      <c r="AI35" s="107"/>
    </row>
    <row r="36" spans="1:35" s="96" customFormat="1" ht="12" customHeight="1" x14ac:dyDescent="0.25">
      <c r="A36" s="94"/>
      <c r="B36" s="76"/>
      <c r="C36" s="97"/>
      <c r="D36" s="97"/>
      <c r="E36" s="76"/>
      <c r="F36" s="76"/>
      <c r="G36" s="76"/>
      <c r="H36" s="76"/>
      <c r="I36" s="76"/>
      <c r="J36" s="76"/>
      <c r="K36" s="76"/>
      <c r="L36" s="94"/>
      <c r="M36" s="76"/>
      <c r="N36" s="94"/>
      <c r="O36" s="76"/>
      <c r="P36" s="76"/>
      <c r="Q36" s="76"/>
      <c r="V36" s="19"/>
      <c r="W36" s="45"/>
      <c r="X36" s="44"/>
      <c r="Y36" s="45"/>
      <c r="Z36" s="66"/>
      <c r="AA36" s="76"/>
      <c r="AB36" s="77"/>
      <c r="AC36" s="45"/>
      <c r="AD36" s="78"/>
      <c r="AE36" s="40"/>
      <c r="AF36" s="19"/>
      <c r="AG36" s="40"/>
      <c r="AH36" s="75"/>
      <c r="AI36" s="107"/>
    </row>
    <row r="37" spans="1:35" s="96" customFormat="1" ht="12" customHeight="1" x14ac:dyDescent="0.25">
      <c r="A37" s="94" t="s">
        <v>26</v>
      </c>
      <c r="B37" s="119" t="s">
        <v>95</v>
      </c>
      <c r="E37" s="76"/>
      <c r="F37" s="76"/>
      <c r="G37" s="76"/>
      <c r="H37" s="76"/>
      <c r="I37" s="76"/>
      <c r="J37" s="76"/>
      <c r="K37" s="76"/>
      <c r="L37" s="94"/>
      <c r="M37" s="76"/>
      <c r="N37" s="94"/>
      <c r="O37" s="76"/>
      <c r="P37" s="76"/>
      <c r="Q37" s="76"/>
      <c r="V37" s="79">
        <v>3.1</v>
      </c>
      <c r="W37" s="80">
        <v>0.14299999999999999</v>
      </c>
      <c r="X37" s="80">
        <v>3.5</v>
      </c>
      <c r="Y37" s="81">
        <f>V37+(W37*X37)</f>
        <v>3.6005000000000003</v>
      </c>
      <c r="Z37" s="82" t="s">
        <v>53</v>
      </c>
      <c r="AA37" s="76"/>
      <c r="AB37" s="83">
        <v>0.8</v>
      </c>
      <c r="AC37" s="84">
        <f>1-LN(AB37^2)</f>
        <v>1.4462871026284194</v>
      </c>
      <c r="AD37" s="85"/>
      <c r="AE37" s="40"/>
      <c r="AF37" s="86">
        <f>Y37/AC37</f>
        <v>2.4894780527715472</v>
      </c>
      <c r="AG37" s="87" t="s">
        <v>53</v>
      </c>
      <c r="AH37" s="88"/>
      <c r="AI37" s="107"/>
    </row>
    <row r="38" spans="1:35" s="96" customFormat="1" ht="12" customHeight="1" x14ac:dyDescent="0.25">
      <c r="A38" s="76" t="s">
        <v>85</v>
      </c>
      <c r="B38" s="76"/>
      <c r="C38" s="76"/>
      <c r="D38" s="76"/>
      <c r="E38" s="76"/>
      <c r="F38" s="41"/>
      <c r="G38" s="41"/>
      <c r="H38" s="41"/>
      <c r="I38" s="76"/>
      <c r="J38" s="76"/>
      <c r="K38" s="76"/>
      <c r="L38" s="94"/>
      <c r="M38" s="76"/>
      <c r="N38" s="94"/>
      <c r="O38" s="76"/>
      <c r="P38" s="76"/>
      <c r="Q38" s="76"/>
      <c r="AI38" s="107"/>
    </row>
    <row r="39" spans="1:35" ht="12" customHeight="1" x14ac:dyDescent="0.2">
      <c r="A39" s="12"/>
      <c r="B39" s="12" t="s">
        <v>33</v>
      </c>
      <c r="C39" s="12" t="s">
        <v>46</v>
      </c>
      <c r="D39" s="12"/>
      <c r="E39" s="12"/>
      <c r="F39" s="14"/>
      <c r="G39" s="14"/>
      <c r="H39" s="14"/>
      <c r="I39" s="12"/>
      <c r="J39" s="12"/>
      <c r="K39" s="12"/>
      <c r="L39" s="11"/>
      <c r="M39" s="12"/>
      <c r="N39" s="11"/>
      <c r="O39" s="12"/>
      <c r="P39" s="12"/>
      <c r="Q39" s="12"/>
      <c r="V39" s="46"/>
      <c r="W39" s="16"/>
      <c r="X39" s="90"/>
      <c r="Y39" s="17"/>
      <c r="Z39" s="16"/>
      <c r="AA39" s="16"/>
      <c r="AB39" s="16"/>
      <c r="AC39" s="35"/>
      <c r="AD39" s="16"/>
      <c r="AE39" s="47"/>
      <c r="AF39" s="36"/>
      <c r="AG39" s="91"/>
      <c r="AH39" s="92"/>
      <c r="AI39" s="89"/>
    </row>
    <row r="40" spans="1:35" ht="12" customHeight="1" x14ac:dyDescent="0.2">
      <c r="A40" s="14"/>
      <c r="B40" s="12">
        <v>0</v>
      </c>
      <c r="C40" s="118">
        <v>0.9506</v>
      </c>
      <c r="D40" s="12"/>
      <c r="E40" s="12"/>
      <c r="F40" s="14"/>
      <c r="G40" s="14"/>
      <c r="H40" s="14"/>
      <c r="I40" s="12"/>
      <c r="J40" s="12"/>
      <c r="K40" s="12"/>
      <c r="L40" s="11"/>
      <c r="M40" s="12"/>
      <c r="N40" s="11"/>
      <c r="O40" s="12"/>
      <c r="P40" s="12"/>
      <c r="Q40" s="12"/>
      <c r="V40" s="46"/>
      <c r="W40" s="16"/>
      <c r="X40" s="16"/>
      <c r="Y40" s="17"/>
      <c r="Z40" s="16"/>
      <c r="AA40" s="16"/>
      <c r="AB40" s="16"/>
      <c r="AC40" s="35"/>
      <c r="AD40" s="16"/>
      <c r="AE40" s="47"/>
      <c r="AF40" s="36"/>
      <c r="AG40" s="47"/>
      <c r="AH40" s="35"/>
      <c r="AI40" s="89"/>
    </row>
    <row r="41" spans="1:35" ht="12" customHeight="1" x14ac:dyDescent="0.2">
      <c r="A41" s="12"/>
      <c r="B41" s="12">
        <v>5</v>
      </c>
      <c r="C41" s="118">
        <v>0.94699999999999995</v>
      </c>
      <c r="D41" s="12"/>
      <c r="E41" s="12"/>
      <c r="F41" s="14"/>
      <c r="G41" s="14"/>
      <c r="H41" s="14"/>
      <c r="I41" s="12"/>
      <c r="J41" s="12"/>
      <c r="K41" s="12"/>
      <c r="L41" s="11"/>
      <c r="M41" s="12"/>
      <c r="N41" s="11"/>
      <c r="O41" s="12"/>
      <c r="P41" s="12"/>
      <c r="Q41" s="12"/>
      <c r="V41" s="41"/>
      <c r="W41" s="41"/>
      <c r="X41" s="41"/>
      <c r="Y41" s="41"/>
      <c r="Z41" s="41"/>
      <c r="AA41" s="41"/>
      <c r="AB41" s="41"/>
      <c r="AC41" s="41"/>
      <c r="AD41" s="41"/>
      <c r="AE41" s="48"/>
      <c r="AF41" s="48"/>
      <c r="AG41" s="43"/>
      <c r="AH41" s="49"/>
    </row>
    <row r="42" spans="1:35" ht="12" customHeight="1" x14ac:dyDescent="0.2">
      <c r="A42" s="12"/>
      <c r="B42" s="12">
        <v>10</v>
      </c>
      <c r="C42" s="118">
        <v>0.94369999999999998</v>
      </c>
      <c r="D42" s="12"/>
      <c r="E42" s="12"/>
      <c r="F42" s="14"/>
      <c r="G42" s="14"/>
      <c r="H42" s="14"/>
      <c r="I42" s="12"/>
      <c r="J42" s="12"/>
      <c r="K42" s="12"/>
      <c r="L42" s="11"/>
      <c r="M42" s="12"/>
      <c r="N42" s="11"/>
      <c r="O42" s="12"/>
      <c r="P42" s="12"/>
      <c r="Q42" s="12"/>
    </row>
    <row r="43" spans="1:35" ht="12" customHeight="1" x14ac:dyDescent="0.2">
      <c r="A43" s="12"/>
      <c r="B43" s="12">
        <v>15</v>
      </c>
      <c r="C43" s="118">
        <v>0.93969999999999998</v>
      </c>
      <c r="D43" s="12"/>
      <c r="E43" s="12"/>
      <c r="F43" s="14"/>
      <c r="G43" s="14"/>
      <c r="H43" s="14"/>
      <c r="I43" s="12"/>
      <c r="J43" s="12"/>
      <c r="K43" s="12"/>
      <c r="L43" s="11"/>
      <c r="M43" s="12"/>
      <c r="N43" s="11"/>
      <c r="O43" s="12"/>
      <c r="P43" s="12"/>
      <c r="Q43" s="12"/>
    </row>
    <row r="44" spans="1:35" ht="12" customHeight="1" x14ac:dyDescent="0.2">
      <c r="A44" s="12"/>
      <c r="B44" s="12">
        <v>20</v>
      </c>
      <c r="C44" s="130">
        <v>0.93640000000000001</v>
      </c>
      <c r="D44" s="12"/>
      <c r="E44" s="12"/>
      <c r="F44" s="14"/>
      <c r="G44" s="14"/>
      <c r="H44" s="14"/>
      <c r="I44" s="12"/>
      <c r="J44" s="12"/>
      <c r="K44" s="12"/>
      <c r="L44" s="11"/>
      <c r="M44" s="12"/>
      <c r="N44" s="11"/>
      <c r="O44" s="12"/>
      <c r="P44" s="12"/>
      <c r="Q44" s="12"/>
    </row>
    <row r="45" spans="1:35" ht="12" customHeight="1" x14ac:dyDescent="0.2">
      <c r="A45" s="12"/>
      <c r="B45" s="12">
        <v>25</v>
      </c>
      <c r="C45" s="118">
        <v>0.93189999999999995</v>
      </c>
      <c r="D45" s="12"/>
      <c r="E45" s="12"/>
      <c r="F45" s="14"/>
      <c r="G45" s="14"/>
      <c r="H45" s="14"/>
      <c r="I45" s="12"/>
      <c r="J45" s="12"/>
      <c r="K45" s="12"/>
      <c r="L45" s="11"/>
      <c r="M45" s="12"/>
      <c r="N45" s="11"/>
      <c r="O45" s="12"/>
      <c r="P45" s="12"/>
      <c r="Q45" s="12"/>
    </row>
    <row r="46" spans="1:35" ht="12" customHeight="1" x14ac:dyDescent="0.2">
      <c r="A46" s="12"/>
      <c r="D46" s="12"/>
      <c r="E46" s="14"/>
      <c r="F46" s="14"/>
      <c r="G46" s="14"/>
      <c r="H46" s="14"/>
      <c r="I46" s="12"/>
      <c r="J46" s="12"/>
      <c r="K46" s="12"/>
      <c r="L46" s="11"/>
      <c r="M46" s="12"/>
      <c r="N46" s="11"/>
      <c r="O46" s="12"/>
      <c r="P46" s="12"/>
      <c r="Q46" s="12"/>
    </row>
    <row r="47" spans="1:35" ht="12" customHeight="1" x14ac:dyDescent="0.2">
      <c r="A47" s="11"/>
      <c r="B47" s="12"/>
      <c r="C47" s="13"/>
      <c r="D47" s="13"/>
      <c r="E47" s="14"/>
      <c r="F47" s="14"/>
      <c r="G47" s="14"/>
      <c r="H47" s="14"/>
      <c r="I47" s="12"/>
      <c r="J47" s="12"/>
      <c r="K47" s="12"/>
      <c r="L47" s="11"/>
      <c r="M47" s="12"/>
      <c r="N47" s="11"/>
      <c r="O47" s="12"/>
      <c r="P47" s="12"/>
      <c r="Q47" s="12"/>
    </row>
    <row r="48" spans="1:35" ht="12" customHeight="1" x14ac:dyDescent="0.2">
      <c r="A48" s="15">
        <v>31536000</v>
      </c>
      <c r="B48" s="1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workbookViewId="0">
      <selection activeCell="G4" sqref="G4"/>
    </sheetView>
  </sheetViews>
  <sheetFormatPr baseColWidth="10" defaultColWidth="11.5703125" defaultRowHeight="11.25" x14ac:dyDescent="0.2"/>
  <cols>
    <col min="1" max="16384" width="11.5703125" style="15"/>
  </cols>
  <sheetData>
    <row r="1" spans="1:7" x14ac:dyDescent="0.2">
      <c r="A1" s="15" t="s">
        <v>78</v>
      </c>
      <c r="D1" s="145" t="s">
        <v>76</v>
      </c>
      <c r="E1" s="145" t="s">
        <v>79</v>
      </c>
    </row>
    <row r="2" spans="1:7" x14ac:dyDescent="0.2">
      <c r="A2" s="15" t="s">
        <v>65</v>
      </c>
      <c r="G2" s="132" t="s">
        <v>66</v>
      </c>
    </row>
    <row r="3" spans="1:7" x14ac:dyDescent="0.2">
      <c r="G3" s="15">
        <v>1</v>
      </c>
    </row>
    <row r="5" spans="1:7" x14ac:dyDescent="0.2">
      <c r="A5" s="138" t="s">
        <v>67</v>
      </c>
      <c r="B5" s="138"/>
      <c r="C5" s="138" t="s">
        <v>74</v>
      </c>
      <c r="D5" s="138" t="s">
        <v>69</v>
      </c>
      <c r="E5" s="138"/>
      <c r="F5" s="138" t="s">
        <v>70</v>
      </c>
    </row>
    <row r="6" spans="1:7" x14ac:dyDescent="0.2">
      <c r="A6" s="138">
        <v>1</v>
      </c>
      <c r="B6" s="138"/>
      <c r="C6" s="138">
        <v>1</v>
      </c>
      <c r="D6" s="138">
        <v>725</v>
      </c>
      <c r="E6" s="138"/>
      <c r="F6" s="138">
        <v>1355</v>
      </c>
    </row>
    <row r="7" spans="1:7" x14ac:dyDescent="0.2">
      <c r="A7" s="138"/>
      <c r="B7" s="138"/>
      <c r="C7" s="138"/>
      <c r="D7" s="138"/>
      <c r="E7" s="138"/>
      <c r="F7" s="138"/>
    </row>
    <row r="8" spans="1:7" x14ac:dyDescent="0.2">
      <c r="A8" s="138"/>
      <c r="B8" s="138"/>
      <c r="C8" s="138"/>
      <c r="D8" s="138"/>
      <c r="E8" s="138"/>
      <c r="F8" s="138"/>
    </row>
    <row r="9" spans="1:7" x14ac:dyDescent="0.2">
      <c r="A9" s="138" t="s">
        <v>67</v>
      </c>
      <c r="B9" s="139" t="s">
        <v>47</v>
      </c>
      <c r="C9" s="138" t="s">
        <v>68</v>
      </c>
      <c r="D9" s="138" t="s">
        <v>71</v>
      </c>
      <c r="E9" s="138"/>
      <c r="F9" s="138"/>
    </row>
    <row r="10" spans="1:7" x14ac:dyDescent="0.2">
      <c r="A10" s="138"/>
      <c r="B10" s="138"/>
      <c r="C10" s="140" t="s">
        <v>72</v>
      </c>
      <c r="D10" s="141" t="s">
        <v>73</v>
      </c>
      <c r="E10" s="138"/>
      <c r="F10" s="138"/>
    </row>
    <row r="11" spans="1:7" x14ac:dyDescent="0.2">
      <c r="A11" s="142">
        <v>0</v>
      </c>
      <c r="B11" s="138">
        <v>0.8</v>
      </c>
      <c r="C11" s="143">
        <v>4.1185360126455928E-3</v>
      </c>
      <c r="D11" s="144">
        <f>B11*C11*((F11-F12)/$A$6)</f>
        <v>-2.0757421503733791</v>
      </c>
      <c r="E11" s="138"/>
      <c r="F11" s="138">
        <f>D6</f>
        <v>725</v>
      </c>
    </row>
    <row r="12" spans="1:7" x14ac:dyDescent="0.2">
      <c r="A12" s="142">
        <f>A11+$A$6</f>
        <v>1</v>
      </c>
      <c r="B12" s="138">
        <v>0.8</v>
      </c>
      <c r="C12" s="143">
        <v>4.1185360126455928E-3</v>
      </c>
      <c r="D12" s="144">
        <f t="shared" ref="D12:D30" si="0">B12*C12*((F12-F13)/$A$6)</f>
        <v>0</v>
      </c>
      <c r="E12" s="138"/>
      <c r="F12" s="144">
        <f>IF($G$3,$F$6,F12+(D11*$C$6)-(D12*$C$6))</f>
        <v>1355</v>
      </c>
    </row>
    <row r="13" spans="1:7" x14ac:dyDescent="0.2">
      <c r="A13" s="142">
        <f t="shared" ref="A13:A21" si="1">A12+$A$6</f>
        <v>2</v>
      </c>
      <c r="B13" s="138">
        <v>0.8</v>
      </c>
      <c r="C13" s="143">
        <v>4.1185360126455928E-3</v>
      </c>
      <c r="D13" s="144">
        <f t="shared" si="0"/>
        <v>0</v>
      </c>
      <c r="E13" s="138"/>
      <c r="F13" s="144">
        <f t="shared" ref="F13:F30" si="2">IF($G$3,$F$6,F13+(D12*$C$6)-(D13*$C$6))</f>
        <v>1355</v>
      </c>
    </row>
    <row r="14" spans="1:7" x14ac:dyDescent="0.2">
      <c r="A14" s="142">
        <f t="shared" si="1"/>
        <v>3</v>
      </c>
      <c r="B14" s="138">
        <v>0.8</v>
      </c>
      <c r="C14" s="143">
        <v>4.1185360126455928E-3</v>
      </c>
      <c r="D14" s="144">
        <f t="shared" si="0"/>
        <v>0</v>
      </c>
      <c r="E14" s="138"/>
      <c r="F14" s="144">
        <f t="shared" si="2"/>
        <v>1355</v>
      </c>
    </row>
    <row r="15" spans="1:7" x14ac:dyDescent="0.2">
      <c r="A15" s="142">
        <f t="shared" si="1"/>
        <v>4</v>
      </c>
      <c r="B15" s="138">
        <v>0.8</v>
      </c>
      <c r="C15" s="143">
        <v>4.1185360126455928E-3</v>
      </c>
      <c r="D15" s="144">
        <f t="shared" si="0"/>
        <v>0</v>
      </c>
      <c r="E15" s="138"/>
      <c r="F15" s="144">
        <f t="shared" si="2"/>
        <v>1355</v>
      </c>
    </row>
    <row r="16" spans="1:7" x14ac:dyDescent="0.2">
      <c r="A16" s="142">
        <f t="shared" si="1"/>
        <v>5</v>
      </c>
      <c r="B16" s="138">
        <v>0.8</v>
      </c>
      <c r="C16" s="143">
        <v>4.1185360126455928E-3</v>
      </c>
      <c r="D16" s="144">
        <f t="shared" si="0"/>
        <v>0</v>
      </c>
      <c r="E16" s="138"/>
      <c r="F16" s="144">
        <f t="shared" si="2"/>
        <v>1355</v>
      </c>
    </row>
    <row r="17" spans="1:6" x14ac:dyDescent="0.2">
      <c r="A17" s="142">
        <f t="shared" si="1"/>
        <v>6</v>
      </c>
      <c r="B17" s="138">
        <v>0.8</v>
      </c>
      <c r="C17" s="143">
        <v>4.1185360126455928E-3</v>
      </c>
      <c r="D17" s="144">
        <f t="shared" si="0"/>
        <v>0</v>
      </c>
      <c r="E17" s="138"/>
      <c r="F17" s="144">
        <f t="shared" si="2"/>
        <v>1355</v>
      </c>
    </row>
    <row r="18" spans="1:6" x14ac:dyDescent="0.2">
      <c r="A18" s="142">
        <f t="shared" si="1"/>
        <v>7</v>
      </c>
      <c r="B18" s="138">
        <v>0.8</v>
      </c>
      <c r="C18" s="143">
        <v>4.1185360126455928E-3</v>
      </c>
      <c r="D18" s="144">
        <f t="shared" si="0"/>
        <v>0</v>
      </c>
      <c r="E18" s="138"/>
      <c r="F18" s="144">
        <f t="shared" si="2"/>
        <v>1355</v>
      </c>
    </row>
    <row r="19" spans="1:6" x14ac:dyDescent="0.2">
      <c r="A19" s="142">
        <f t="shared" si="1"/>
        <v>8</v>
      </c>
      <c r="B19" s="138">
        <v>0.8</v>
      </c>
      <c r="C19" s="143">
        <v>4.1185360126455928E-3</v>
      </c>
      <c r="D19" s="144">
        <f t="shared" si="0"/>
        <v>0</v>
      </c>
      <c r="E19" s="138"/>
      <c r="F19" s="144">
        <f t="shared" si="2"/>
        <v>1355</v>
      </c>
    </row>
    <row r="20" spans="1:6" x14ac:dyDescent="0.2">
      <c r="A20" s="142">
        <f t="shared" si="1"/>
        <v>9</v>
      </c>
      <c r="B20" s="138">
        <v>0.8</v>
      </c>
      <c r="C20" s="143">
        <v>4.1185360126455928E-3</v>
      </c>
      <c r="D20" s="144">
        <f t="shared" si="0"/>
        <v>0</v>
      </c>
      <c r="E20" s="138"/>
      <c r="F20" s="144">
        <f t="shared" si="2"/>
        <v>1355</v>
      </c>
    </row>
    <row r="21" spans="1:6" x14ac:dyDescent="0.2">
      <c r="A21" s="142">
        <f t="shared" si="1"/>
        <v>10</v>
      </c>
      <c r="B21" s="138">
        <v>0.8</v>
      </c>
      <c r="C21" s="143">
        <v>4.1185360126455928E-3</v>
      </c>
      <c r="D21" s="144">
        <f t="shared" si="0"/>
        <v>0</v>
      </c>
      <c r="E21" s="138"/>
      <c r="F21" s="144">
        <f t="shared" si="2"/>
        <v>1355</v>
      </c>
    </row>
    <row r="22" spans="1:6" x14ac:dyDescent="0.2">
      <c r="A22" s="142">
        <f t="shared" ref="A22:A23" si="3">A21+$A$6</f>
        <v>11</v>
      </c>
      <c r="B22" s="138">
        <v>0.8</v>
      </c>
      <c r="C22" s="143">
        <v>4.1185360126455928E-3</v>
      </c>
      <c r="D22" s="144">
        <f t="shared" si="0"/>
        <v>0</v>
      </c>
      <c r="E22" s="138"/>
      <c r="F22" s="144">
        <f t="shared" si="2"/>
        <v>1355</v>
      </c>
    </row>
    <row r="23" spans="1:6" x14ac:dyDescent="0.2">
      <c r="A23" s="142">
        <f t="shared" si="3"/>
        <v>12</v>
      </c>
      <c r="B23" s="138">
        <v>0.8</v>
      </c>
      <c r="C23" s="143">
        <v>4.1185360126455928E-3</v>
      </c>
      <c r="D23" s="144">
        <f t="shared" si="0"/>
        <v>0</v>
      </c>
      <c r="E23" s="138"/>
      <c r="F23" s="144">
        <f t="shared" si="2"/>
        <v>1355</v>
      </c>
    </row>
    <row r="24" spans="1:6" x14ac:dyDescent="0.2">
      <c r="A24" s="142">
        <f t="shared" ref="A24:A31" si="4">A23+$A$6</f>
        <v>13</v>
      </c>
      <c r="B24" s="138">
        <v>0.8</v>
      </c>
      <c r="C24" s="143">
        <v>4.1185360126455928E-3</v>
      </c>
      <c r="D24" s="144">
        <f t="shared" si="0"/>
        <v>0</v>
      </c>
      <c r="E24" s="138"/>
      <c r="F24" s="144">
        <f t="shared" si="2"/>
        <v>1355</v>
      </c>
    </row>
    <row r="25" spans="1:6" x14ac:dyDescent="0.2">
      <c r="A25" s="142">
        <f t="shared" si="4"/>
        <v>14</v>
      </c>
      <c r="B25" s="138">
        <v>0.8</v>
      </c>
      <c r="C25" s="143">
        <v>4.1185360126455928E-3</v>
      </c>
      <c r="D25" s="144">
        <f t="shared" si="0"/>
        <v>0</v>
      </c>
      <c r="E25" s="138"/>
      <c r="F25" s="144">
        <f t="shared" si="2"/>
        <v>1355</v>
      </c>
    </row>
    <row r="26" spans="1:6" x14ac:dyDescent="0.2">
      <c r="A26" s="142">
        <f t="shared" si="4"/>
        <v>15</v>
      </c>
      <c r="B26" s="138">
        <v>0.8</v>
      </c>
      <c r="C26" s="143">
        <v>4.1185360126455928E-3</v>
      </c>
      <c r="D26" s="144">
        <f t="shared" si="0"/>
        <v>0</v>
      </c>
      <c r="E26" s="138"/>
      <c r="F26" s="144">
        <f t="shared" si="2"/>
        <v>1355</v>
      </c>
    </row>
    <row r="27" spans="1:6" x14ac:dyDescent="0.2">
      <c r="A27" s="142">
        <f t="shared" si="4"/>
        <v>16</v>
      </c>
      <c r="B27" s="138">
        <v>0.8</v>
      </c>
      <c r="C27" s="143">
        <v>4.1185360126455928E-3</v>
      </c>
      <c r="D27" s="144">
        <f t="shared" si="0"/>
        <v>0</v>
      </c>
      <c r="E27" s="138"/>
      <c r="F27" s="144">
        <f t="shared" si="2"/>
        <v>1355</v>
      </c>
    </row>
    <row r="28" spans="1:6" x14ac:dyDescent="0.2">
      <c r="A28" s="142">
        <f t="shared" si="4"/>
        <v>17</v>
      </c>
      <c r="B28" s="138">
        <v>0.8</v>
      </c>
      <c r="C28" s="143">
        <v>4.1185360126455928E-3</v>
      </c>
      <c r="D28" s="144">
        <f t="shared" si="0"/>
        <v>0</v>
      </c>
      <c r="E28" s="138"/>
      <c r="F28" s="144">
        <f t="shared" si="2"/>
        <v>1355</v>
      </c>
    </row>
    <row r="29" spans="1:6" x14ac:dyDescent="0.2">
      <c r="A29" s="142">
        <f t="shared" si="4"/>
        <v>18</v>
      </c>
      <c r="B29" s="138">
        <v>0.8</v>
      </c>
      <c r="C29" s="143">
        <v>4.1185360126455928E-3</v>
      </c>
      <c r="D29" s="144">
        <f t="shared" si="0"/>
        <v>0</v>
      </c>
      <c r="E29" s="138"/>
      <c r="F29" s="144">
        <f t="shared" si="2"/>
        <v>1355</v>
      </c>
    </row>
    <row r="30" spans="1:6" x14ac:dyDescent="0.2">
      <c r="A30" s="142">
        <f t="shared" si="4"/>
        <v>19</v>
      </c>
      <c r="B30" s="138">
        <v>0.8</v>
      </c>
      <c r="C30" s="143">
        <v>4.1185360126455928E-3</v>
      </c>
      <c r="D30" s="144">
        <f t="shared" si="0"/>
        <v>0</v>
      </c>
      <c r="E30" s="138"/>
      <c r="F30" s="144">
        <f t="shared" si="2"/>
        <v>1355</v>
      </c>
    </row>
    <row r="31" spans="1:6" x14ac:dyDescent="0.2">
      <c r="A31" s="142">
        <f t="shared" si="4"/>
        <v>20</v>
      </c>
      <c r="B31" s="138">
        <v>0.8</v>
      </c>
      <c r="C31" s="143">
        <v>4.1185360126455928E-3</v>
      </c>
      <c r="D31" s="144">
        <f t="shared" ref="D31:D41" si="5">B31*C31*((F31-F32)/$A$6)</f>
        <v>0</v>
      </c>
      <c r="E31" s="138"/>
      <c r="F31" s="144">
        <f t="shared" ref="F31:F41" si="6">IF($G$3,$F$6,F31+(D30*$C$6)-(D31*$C$6))</f>
        <v>1355</v>
      </c>
    </row>
    <row r="32" spans="1:6" x14ac:dyDescent="0.2">
      <c r="A32" s="142">
        <f t="shared" ref="A32:A40" si="7">A31+$A$6</f>
        <v>21</v>
      </c>
      <c r="B32" s="138">
        <v>0.8</v>
      </c>
      <c r="C32" s="143">
        <v>4.1185360126455928E-3</v>
      </c>
      <c r="D32" s="144">
        <f t="shared" si="5"/>
        <v>0</v>
      </c>
      <c r="E32" s="138"/>
      <c r="F32" s="144">
        <f t="shared" si="6"/>
        <v>1355</v>
      </c>
    </row>
    <row r="33" spans="1:6" x14ac:dyDescent="0.2">
      <c r="A33" s="142">
        <f t="shared" si="7"/>
        <v>22</v>
      </c>
      <c r="B33" s="138">
        <v>0.8</v>
      </c>
      <c r="C33" s="143">
        <v>4.1185360126455928E-3</v>
      </c>
      <c r="D33" s="144">
        <f t="shared" si="5"/>
        <v>0</v>
      </c>
      <c r="E33" s="138"/>
      <c r="F33" s="144">
        <f t="shared" si="6"/>
        <v>1355</v>
      </c>
    </row>
    <row r="34" spans="1:6" x14ac:dyDescent="0.2">
      <c r="A34" s="142">
        <f t="shared" si="7"/>
        <v>23</v>
      </c>
      <c r="B34" s="138">
        <v>0.8</v>
      </c>
      <c r="C34" s="143">
        <v>4.1185360126455928E-3</v>
      </c>
      <c r="D34" s="144">
        <f t="shared" si="5"/>
        <v>0</v>
      </c>
      <c r="E34" s="138"/>
      <c r="F34" s="144">
        <f t="shared" si="6"/>
        <v>1355</v>
      </c>
    </row>
    <row r="35" spans="1:6" x14ac:dyDescent="0.2">
      <c r="A35" s="142">
        <f t="shared" si="7"/>
        <v>24</v>
      </c>
      <c r="B35" s="138">
        <v>0.8</v>
      </c>
      <c r="C35" s="143">
        <v>4.1185360126455928E-3</v>
      </c>
      <c r="D35" s="144">
        <f t="shared" si="5"/>
        <v>0</v>
      </c>
      <c r="E35" s="138"/>
      <c r="F35" s="144">
        <f t="shared" si="6"/>
        <v>1355</v>
      </c>
    </row>
    <row r="36" spans="1:6" x14ac:dyDescent="0.2">
      <c r="A36" s="142">
        <f t="shared" si="7"/>
        <v>25</v>
      </c>
      <c r="B36" s="138">
        <v>0.8</v>
      </c>
      <c r="C36" s="143">
        <v>4.1185360126455928E-3</v>
      </c>
      <c r="D36" s="144">
        <f t="shared" si="5"/>
        <v>0</v>
      </c>
      <c r="E36" s="138"/>
      <c r="F36" s="144">
        <f t="shared" si="6"/>
        <v>1355</v>
      </c>
    </row>
    <row r="37" spans="1:6" x14ac:dyDescent="0.2">
      <c r="A37" s="142">
        <f t="shared" si="7"/>
        <v>26</v>
      </c>
      <c r="B37" s="138">
        <v>0.8</v>
      </c>
      <c r="C37" s="143">
        <v>4.1185360126455928E-3</v>
      </c>
      <c r="D37" s="144">
        <f t="shared" si="5"/>
        <v>0</v>
      </c>
      <c r="E37" s="138"/>
      <c r="F37" s="144">
        <f t="shared" si="6"/>
        <v>1355</v>
      </c>
    </row>
    <row r="38" spans="1:6" x14ac:dyDescent="0.2">
      <c r="A38" s="142">
        <f t="shared" si="7"/>
        <v>27</v>
      </c>
      <c r="B38" s="138">
        <v>0.8</v>
      </c>
      <c r="C38" s="143">
        <v>4.1185360126455928E-3</v>
      </c>
      <c r="D38" s="144">
        <f t="shared" si="5"/>
        <v>0</v>
      </c>
      <c r="E38" s="138"/>
      <c r="F38" s="144">
        <f t="shared" si="6"/>
        <v>1355</v>
      </c>
    </row>
    <row r="39" spans="1:6" x14ac:dyDescent="0.2">
      <c r="A39" s="142">
        <f t="shared" si="7"/>
        <v>28</v>
      </c>
      <c r="B39" s="138">
        <v>0.8</v>
      </c>
      <c r="C39" s="143">
        <v>4.1185360126455928E-3</v>
      </c>
      <c r="D39" s="144">
        <f t="shared" si="5"/>
        <v>0</v>
      </c>
      <c r="E39" s="138"/>
      <c r="F39" s="144">
        <f t="shared" si="6"/>
        <v>1355</v>
      </c>
    </row>
    <row r="40" spans="1:6" x14ac:dyDescent="0.2">
      <c r="A40" s="142">
        <f t="shared" si="7"/>
        <v>29</v>
      </c>
      <c r="B40" s="138">
        <v>0.8</v>
      </c>
      <c r="C40" s="143">
        <v>4.1185360126455928E-3</v>
      </c>
      <c r="D40" s="144">
        <f t="shared" si="5"/>
        <v>0</v>
      </c>
      <c r="E40" s="138"/>
      <c r="F40" s="144">
        <f t="shared" si="6"/>
        <v>1355</v>
      </c>
    </row>
    <row r="41" spans="1:6" x14ac:dyDescent="0.2">
      <c r="A41" s="142">
        <f t="shared" ref="A41:A42" si="8">A40+$A$6</f>
        <v>30</v>
      </c>
      <c r="B41" s="138">
        <v>0.8</v>
      </c>
      <c r="C41" s="143">
        <v>4.1185360126455928E-3</v>
      </c>
      <c r="D41" s="144">
        <f t="shared" si="5"/>
        <v>0</v>
      </c>
      <c r="E41" s="138"/>
      <c r="F41" s="144">
        <f t="shared" si="6"/>
        <v>1355</v>
      </c>
    </row>
    <row r="42" spans="1:6" x14ac:dyDescent="0.2">
      <c r="A42" s="142">
        <f t="shared" si="8"/>
        <v>31</v>
      </c>
      <c r="B42" s="138"/>
      <c r="C42" s="143"/>
      <c r="D42" s="144"/>
      <c r="E42" s="138"/>
      <c r="F42" s="144">
        <f>F6</f>
        <v>1355</v>
      </c>
    </row>
    <row r="43" spans="1:6" x14ac:dyDescent="0.2">
      <c r="A43" s="6"/>
      <c r="C43" s="9"/>
      <c r="D43" s="9"/>
    </row>
    <row r="44" spans="1:6" x14ac:dyDescent="0.2">
      <c r="A44" s="6"/>
      <c r="C44" s="9"/>
      <c r="D44" s="9"/>
      <c r="F44" s="9"/>
    </row>
    <row r="45" spans="1:6" x14ac:dyDescent="0.2">
      <c r="A45" s="6"/>
      <c r="C45" s="9"/>
      <c r="D45" s="9"/>
      <c r="F45" s="9"/>
    </row>
    <row r="46" spans="1:6" x14ac:dyDescent="0.2">
      <c r="A46" s="6"/>
      <c r="C46" s="9"/>
      <c r="D46" s="9"/>
      <c r="F46" s="9"/>
    </row>
    <row r="48" spans="1:6" x14ac:dyDescent="0.2">
      <c r="A48" s="6"/>
      <c r="C48" s="9"/>
      <c r="D48" s="9"/>
      <c r="F48" s="9"/>
    </row>
    <row r="51" spans="1:9" x14ac:dyDescent="0.2">
      <c r="A51" s="133">
        <v>0</v>
      </c>
      <c r="B51" s="134"/>
      <c r="C51" s="135"/>
      <c r="D51" s="134"/>
      <c r="E51" s="134"/>
      <c r="F51" s="136">
        <v>726.00302696454457</v>
      </c>
      <c r="G51" s="134"/>
      <c r="H51" s="134"/>
      <c r="I51" s="137">
        <v>37.54370464075366</v>
      </c>
    </row>
    <row r="52" spans="1:9" x14ac:dyDescent="0.2">
      <c r="A52" s="133">
        <v>2</v>
      </c>
      <c r="B52" s="134"/>
      <c r="C52" s="135"/>
      <c r="D52" s="134"/>
      <c r="E52" s="134"/>
      <c r="F52" s="136">
        <v>903.67089028822886</v>
      </c>
      <c r="G52" s="134"/>
      <c r="H52" s="134"/>
      <c r="I52" s="137">
        <v>45.144601512875283</v>
      </c>
    </row>
    <row r="53" spans="1:9" x14ac:dyDescent="0.2">
      <c r="A53" s="133">
        <v>4.5</v>
      </c>
      <c r="B53" s="134"/>
      <c r="C53" s="135"/>
      <c r="D53" s="134"/>
      <c r="E53" s="134"/>
      <c r="F53" s="136">
        <v>1057.4795369325016</v>
      </c>
      <c r="G53" s="134"/>
      <c r="H53" s="134"/>
      <c r="I53" s="137">
        <v>56.196982705050878</v>
      </c>
    </row>
    <row r="54" spans="1:9" x14ac:dyDescent="0.2">
      <c r="A54" s="133">
        <v>7</v>
      </c>
      <c r="B54" s="134"/>
      <c r="C54" s="135"/>
      <c r="D54" s="134"/>
      <c r="E54" s="134"/>
      <c r="F54" s="136">
        <v>1199.1460774024233</v>
      </c>
      <c r="G54" s="134"/>
      <c r="H54" s="134"/>
      <c r="I54" s="137">
        <v>63.770273440950852</v>
      </c>
    </row>
    <row r="55" spans="1:9" x14ac:dyDescent="0.2">
      <c r="A55" s="133">
        <v>10</v>
      </c>
      <c r="B55" s="134"/>
      <c r="C55" s="137"/>
      <c r="D55" s="134"/>
      <c r="E55" s="134"/>
      <c r="F55" s="136">
        <v>1314.6131206058142</v>
      </c>
      <c r="G55" s="134"/>
      <c r="H55" s="134"/>
      <c r="I55" s="137">
        <v>69.663900454164718</v>
      </c>
    </row>
    <row r="56" spans="1:9" x14ac:dyDescent="0.2">
      <c r="A56" s="133">
        <v>13</v>
      </c>
      <c r="B56" s="134"/>
      <c r="C56" s="137"/>
      <c r="D56" s="134"/>
      <c r="E56" s="134"/>
      <c r="F56" s="136">
        <v>1356.7665338559805</v>
      </c>
      <c r="G56" s="134"/>
      <c r="H56" s="134"/>
      <c r="I56" s="137">
        <v>70.706641835430517</v>
      </c>
    </row>
    <row r="57" spans="1:9" x14ac:dyDescent="0.2">
      <c r="A57" s="133">
        <v>16.5</v>
      </c>
      <c r="B57" s="134"/>
      <c r="C57" s="137"/>
      <c r="D57" s="134"/>
      <c r="E57" s="134"/>
      <c r="F57" s="136">
        <v>1359.0202503149887</v>
      </c>
      <c r="G57" s="134"/>
      <c r="H57" s="134"/>
      <c r="I57" s="137">
        <v>70.619203941263635</v>
      </c>
    </row>
    <row r="58" spans="1:9" x14ac:dyDescent="0.2">
      <c r="A58" s="133">
        <v>20</v>
      </c>
      <c r="B58" s="134"/>
      <c r="C58" s="137"/>
      <c r="D58" s="134"/>
      <c r="E58" s="134"/>
      <c r="F58" s="136">
        <v>1356.4448003021653</v>
      </c>
      <c r="G58" s="134"/>
      <c r="H58" s="134"/>
      <c r="I58" s="137">
        <v>70.354292342569863</v>
      </c>
    </row>
    <row r="59" spans="1:9" x14ac:dyDescent="0.2">
      <c r="A59" s="133">
        <v>23.5</v>
      </c>
      <c r="B59" s="134"/>
      <c r="C59" s="137"/>
      <c r="D59" s="134"/>
      <c r="E59" s="134"/>
      <c r="F59" s="136">
        <v>1349.4542574907853</v>
      </c>
      <c r="G59" s="134"/>
      <c r="H59" s="134"/>
      <c r="I59" s="137">
        <v>70.4045630852589</v>
      </c>
    </row>
    <row r="60" spans="1:9" x14ac:dyDescent="0.2">
      <c r="A60" s="133">
        <v>27</v>
      </c>
      <c r="B60" s="134"/>
      <c r="C60" s="134"/>
      <c r="D60" s="134"/>
      <c r="E60" s="134"/>
      <c r="F60" s="136">
        <v>1349.7099265008114</v>
      </c>
      <c r="G60" s="134"/>
      <c r="H60" s="134"/>
      <c r="I60" s="137">
        <v>70.314174210170336</v>
      </c>
    </row>
    <row r="61" spans="1:9" x14ac:dyDescent="0.2">
      <c r="A61" s="133">
        <v>30.5</v>
      </c>
      <c r="B61" s="134"/>
      <c r="C61" s="134"/>
      <c r="D61" s="134"/>
      <c r="E61" s="134"/>
      <c r="F61" s="136">
        <v>1321.791168077089</v>
      </c>
      <c r="G61" s="134"/>
      <c r="H61" s="134"/>
      <c r="I61" s="137">
        <v>68.35010777142864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workbookViewId="0">
      <selection activeCell="D1" sqref="D1:E1"/>
    </sheetView>
  </sheetViews>
  <sheetFormatPr baseColWidth="10" defaultRowHeight="15" x14ac:dyDescent="0.25"/>
  <sheetData>
    <row r="1" spans="1:7" s="15" customFormat="1" ht="11.25" x14ac:dyDescent="0.2">
      <c r="A1" s="15" t="s">
        <v>75</v>
      </c>
      <c r="D1" s="145" t="s">
        <v>76</v>
      </c>
      <c r="E1" s="145" t="s">
        <v>77</v>
      </c>
    </row>
    <row r="2" spans="1:7" s="15" customFormat="1" ht="11.25" x14ac:dyDescent="0.2">
      <c r="A2" s="15" t="s">
        <v>65</v>
      </c>
      <c r="G2" s="132" t="s">
        <v>66</v>
      </c>
    </row>
    <row r="3" spans="1:7" s="15" customFormat="1" ht="11.25" x14ac:dyDescent="0.2">
      <c r="G3" s="15">
        <v>1</v>
      </c>
    </row>
    <row r="4" spans="1:7" s="15" customFormat="1" ht="11.25" x14ac:dyDescent="0.2"/>
    <row r="5" spans="1:7" s="15" customFormat="1" ht="11.25" x14ac:dyDescent="0.2">
      <c r="A5" s="138" t="s">
        <v>67</v>
      </c>
      <c r="B5" s="138"/>
      <c r="C5" s="138" t="s">
        <v>74</v>
      </c>
      <c r="D5" s="138" t="s">
        <v>69</v>
      </c>
      <c r="E5" s="138"/>
      <c r="F5" s="138" t="s">
        <v>70</v>
      </c>
    </row>
    <row r="6" spans="1:7" s="15" customFormat="1" ht="11.25" x14ac:dyDescent="0.2">
      <c r="A6" s="138">
        <v>1</v>
      </c>
      <c r="B6" s="138"/>
      <c r="C6" s="138">
        <v>1</v>
      </c>
      <c r="D6" s="138">
        <v>725</v>
      </c>
      <c r="E6" s="138"/>
      <c r="F6" s="138">
        <v>1355</v>
      </c>
    </row>
    <row r="7" spans="1:7" s="15" customFormat="1" ht="11.25" x14ac:dyDescent="0.2">
      <c r="A7" s="138"/>
      <c r="B7" s="138"/>
      <c r="C7" s="138"/>
      <c r="D7" s="138"/>
      <c r="E7" s="138"/>
      <c r="F7" s="138"/>
    </row>
    <row r="8" spans="1:7" s="15" customFormat="1" ht="11.25" x14ac:dyDescent="0.2">
      <c r="A8" s="138"/>
      <c r="B8" s="138"/>
      <c r="C8" s="138"/>
      <c r="D8" s="138"/>
      <c r="E8" s="138"/>
      <c r="F8" s="138"/>
    </row>
    <row r="9" spans="1:7" s="15" customFormat="1" ht="11.25" x14ac:dyDescent="0.2">
      <c r="A9" s="138" t="s">
        <v>67</v>
      </c>
      <c r="B9" s="139" t="s">
        <v>47</v>
      </c>
      <c r="C9" s="138" t="s">
        <v>68</v>
      </c>
      <c r="D9" s="138" t="s">
        <v>71</v>
      </c>
      <c r="E9" s="138"/>
      <c r="F9" s="138"/>
    </row>
    <row r="10" spans="1:7" s="15" customFormat="1" ht="11.25" x14ac:dyDescent="0.2">
      <c r="A10" s="138"/>
      <c r="B10" s="138"/>
      <c r="C10" s="140" t="s">
        <v>72</v>
      </c>
      <c r="D10" s="141" t="s">
        <v>73</v>
      </c>
      <c r="E10" s="138"/>
      <c r="F10" s="138"/>
    </row>
    <row r="11" spans="1:7" s="15" customFormat="1" ht="11.25" x14ac:dyDescent="0.2">
      <c r="A11" s="142">
        <v>0</v>
      </c>
      <c r="B11" s="138">
        <v>0.6</v>
      </c>
      <c r="C11" s="143">
        <v>2.6451121293488119E-3</v>
      </c>
      <c r="D11" s="144">
        <f>B11*C11*((F11-F12)/$A$6)</f>
        <v>-0.99985238489385087</v>
      </c>
      <c r="E11" s="138"/>
      <c r="F11" s="138">
        <f>D6</f>
        <v>725</v>
      </c>
    </row>
    <row r="12" spans="1:7" s="15" customFormat="1" ht="11.25" x14ac:dyDescent="0.2">
      <c r="A12" s="142">
        <f>A11+$A$6</f>
        <v>1</v>
      </c>
      <c r="B12" s="138">
        <v>0.6</v>
      </c>
      <c r="C12" s="143">
        <v>2.6451121293488119E-3</v>
      </c>
      <c r="D12" s="144">
        <f t="shared" ref="D12:D41" si="0">B12*C12*((F12-F13)/$A$6)</f>
        <v>0</v>
      </c>
      <c r="E12" s="138"/>
      <c r="F12" s="144">
        <f>IF($G$3,$F$6,F12+(D11*$C$6)-(D12*$C$6))</f>
        <v>1355</v>
      </c>
    </row>
    <row r="13" spans="1:7" s="15" customFormat="1" ht="11.25" x14ac:dyDescent="0.2">
      <c r="A13" s="142">
        <f t="shared" ref="A13:A42" si="1">A12+$A$6</f>
        <v>2</v>
      </c>
      <c r="B13" s="138">
        <v>0.6</v>
      </c>
      <c r="C13" s="143">
        <v>2.6451121293488119E-3</v>
      </c>
      <c r="D13" s="144">
        <f t="shared" si="0"/>
        <v>0</v>
      </c>
      <c r="E13" s="138"/>
      <c r="F13" s="144">
        <f t="shared" ref="F13:F41" si="2">IF($G$3,$F$6,F13+(D12*$C$6)-(D13*$C$6))</f>
        <v>1355</v>
      </c>
    </row>
    <row r="14" spans="1:7" s="15" customFormat="1" ht="11.25" x14ac:dyDescent="0.2">
      <c r="A14" s="142">
        <f t="shared" si="1"/>
        <v>3</v>
      </c>
      <c r="B14" s="138">
        <v>0.6</v>
      </c>
      <c r="C14" s="143">
        <v>2.6451121293488119E-3</v>
      </c>
      <c r="D14" s="144">
        <f t="shared" si="0"/>
        <v>0</v>
      </c>
      <c r="E14" s="138"/>
      <c r="F14" s="144">
        <f t="shared" si="2"/>
        <v>1355</v>
      </c>
    </row>
    <row r="15" spans="1:7" s="15" customFormat="1" ht="11.25" x14ac:dyDescent="0.2">
      <c r="A15" s="142">
        <f t="shared" si="1"/>
        <v>4</v>
      </c>
      <c r="B15" s="138">
        <v>0.6</v>
      </c>
      <c r="C15" s="143">
        <v>2.6451121293488119E-3</v>
      </c>
      <c r="D15" s="144">
        <f t="shared" si="0"/>
        <v>0</v>
      </c>
      <c r="E15" s="138"/>
      <c r="F15" s="144">
        <f t="shared" si="2"/>
        <v>1355</v>
      </c>
    </row>
    <row r="16" spans="1:7" s="15" customFormat="1" ht="11.25" x14ac:dyDescent="0.2">
      <c r="A16" s="142">
        <f t="shared" si="1"/>
        <v>5</v>
      </c>
      <c r="B16" s="138">
        <v>0.6</v>
      </c>
      <c r="C16" s="143">
        <v>2.6451121293488119E-3</v>
      </c>
      <c r="D16" s="144">
        <f t="shared" si="0"/>
        <v>0</v>
      </c>
      <c r="E16" s="138"/>
      <c r="F16" s="144">
        <f t="shared" si="2"/>
        <v>1355</v>
      </c>
    </row>
    <row r="17" spans="1:6" s="15" customFormat="1" ht="11.25" x14ac:dyDescent="0.2">
      <c r="A17" s="142">
        <f t="shared" si="1"/>
        <v>6</v>
      </c>
      <c r="B17" s="138">
        <v>0.6</v>
      </c>
      <c r="C17" s="143">
        <v>2.6451121293488119E-3</v>
      </c>
      <c r="D17" s="144">
        <f t="shared" si="0"/>
        <v>0</v>
      </c>
      <c r="E17" s="138"/>
      <c r="F17" s="144">
        <f t="shared" si="2"/>
        <v>1355</v>
      </c>
    </row>
    <row r="18" spans="1:6" s="15" customFormat="1" ht="11.25" x14ac:dyDescent="0.2">
      <c r="A18" s="142">
        <f t="shared" si="1"/>
        <v>7</v>
      </c>
      <c r="B18" s="138">
        <v>0.6</v>
      </c>
      <c r="C18" s="143">
        <v>2.6451121293488119E-3</v>
      </c>
      <c r="D18" s="144">
        <f t="shared" si="0"/>
        <v>0</v>
      </c>
      <c r="E18" s="138"/>
      <c r="F18" s="144">
        <f t="shared" si="2"/>
        <v>1355</v>
      </c>
    </row>
    <row r="19" spans="1:6" s="15" customFormat="1" ht="11.25" x14ac:dyDescent="0.2">
      <c r="A19" s="142">
        <f t="shared" si="1"/>
        <v>8</v>
      </c>
      <c r="B19" s="138">
        <v>0.6</v>
      </c>
      <c r="C19" s="143">
        <v>2.6451121293488119E-3</v>
      </c>
      <c r="D19" s="144">
        <f t="shared" si="0"/>
        <v>0</v>
      </c>
      <c r="E19" s="138"/>
      <c r="F19" s="144">
        <f t="shared" si="2"/>
        <v>1355</v>
      </c>
    </row>
    <row r="20" spans="1:6" s="15" customFormat="1" ht="11.25" x14ac:dyDescent="0.2">
      <c r="A20" s="142">
        <f t="shared" si="1"/>
        <v>9</v>
      </c>
      <c r="B20" s="138">
        <v>0.6</v>
      </c>
      <c r="C20" s="143">
        <v>2.6451121293488119E-3</v>
      </c>
      <c r="D20" s="144">
        <f t="shared" si="0"/>
        <v>0</v>
      </c>
      <c r="E20" s="138"/>
      <c r="F20" s="144">
        <f t="shared" si="2"/>
        <v>1355</v>
      </c>
    </row>
    <row r="21" spans="1:6" s="15" customFormat="1" ht="11.25" x14ac:dyDescent="0.2">
      <c r="A21" s="142">
        <f t="shared" si="1"/>
        <v>10</v>
      </c>
      <c r="B21" s="138">
        <v>0.6</v>
      </c>
      <c r="C21" s="143">
        <v>2.6451121293488119E-3</v>
      </c>
      <c r="D21" s="144">
        <f t="shared" si="0"/>
        <v>0</v>
      </c>
      <c r="E21" s="138"/>
      <c r="F21" s="144">
        <f t="shared" si="2"/>
        <v>1355</v>
      </c>
    </row>
    <row r="22" spans="1:6" s="15" customFormat="1" ht="11.25" x14ac:dyDescent="0.2">
      <c r="A22" s="142">
        <f t="shared" si="1"/>
        <v>11</v>
      </c>
      <c r="B22" s="138">
        <v>0.6</v>
      </c>
      <c r="C22" s="143">
        <v>2.6451121293488119E-3</v>
      </c>
      <c r="D22" s="144">
        <f t="shared" si="0"/>
        <v>0</v>
      </c>
      <c r="E22" s="138"/>
      <c r="F22" s="144">
        <f t="shared" si="2"/>
        <v>1355</v>
      </c>
    </row>
    <row r="23" spans="1:6" s="15" customFormat="1" ht="11.25" x14ac:dyDescent="0.2">
      <c r="A23" s="142">
        <f t="shared" si="1"/>
        <v>12</v>
      </c>
      <c r="B23" s="138">
        <v>0.6</v>
      </c>
      <c r="C23" s="143">
        <v>2.6451121293488119E-3</v>
      </c>
      <c r="D23" s="144">
        <f t="shared" si="0"/>
        <v>0</v>
      </c>
      <c r="E23" s="138"/>
      <c r="F23" s="144">
        <f t="shared" si="2"/>
        <v>1355</v>
      </c>
    </row>
    <row r="24" spans="1:6" s="15" customFormat="1" ht="11.25" x14ac:dyDescent="0.2">
      <c r="A24" s="142">
        <f t="shared" si="1"/>
        <v>13</v>
      </c>
      <c r="B24" s="138">
        <v>0.6</v>
      </c>
      <c r="C24" s="143">
        <v>2.6451121293488119E-3</v>
      </c>
      <c r="D24" s="144">
        <f t="shared" si="0"/>
        <v>0</v>
      </c>
      <c r="E24" s="138"/>
      <c r="F24" s="144">
        <f t="shared" si="2"/>
        <v>1355</v>
      </c>
    </row>
    <row r="25" spans="1:6" s="15" customFormat="1" ht="11.25" x14ac:dyDescent="0.2">
      <c r="A25" s="142">
        <f t="shared" si="1"/>
        <v>14</v>
      </c>
      <c r="B25" s="138">
        <v>0.6</v>
      </c>
      <c r="C25" s="143">
        <v>2.6451121293488119E-3</v>
      </c>
      <c r="D25" s="144">
        <f t="shared" si="0"/>
        <v>0</v>
      </c>
      <c r="E25" s="138"/>
      <c r="F25" s="144">
        <f t="shared" si="2"/>
        <v>1355</v>
      </c>
    </row>
    <row r="26" spans="1:6" s="15" customFormat="1" ht="11.25" x14ac:dyDescent="0.2">
      <c r="A26" s="142">
        <f t="shared" si="1"/>
        <v>15</v>
      </c>
      <c r="B26" s="138">
        <v>0.6</v>
      </c>
      <c r="C26" s="143">
        <v>2.6451121293488119E-3</v>
      </c>
      <c r="D26" s="144">
        <f t="shared" si="0"/>
        <v>0</v>
      </c>
      <c r="E26" s="138"/>
      <c r="F26" s="144">
        <f t="shared" si="2"/>
        <v>1355</v>
      </c>
    </row>
    <row r="27" spans="1:6" s="15" customFormat="1" ht="11.25" x14ac:dyDescent="0.2">
      <c r="A27" s="142">
        <f t="shared" si="1"/>
        <v>16</v>
      </c>
      <c r="B27" s="138">
        <v>0.6</v>
      </c>
      <c r="C27" s="143">
        <v>2.6451121293488119E-3</v>
      </c>
      <c r="D27" s="144">
        <f t="shared" si="0"/>
        <v>0</v>
      </c>
      <c r="E27" s="138"/>
      <c r="F27" s="144">
        <f t="shared" si="2"/>
        <v>1355</v>
      </c>
    </row>
    <row r="28" spans="1:6" s="15" customFormat="1" ht="11.25" x14ac:dyDescent="0.2">
      <c r="A28" s="142">
        <f t="shared" si="1"/>
        <v>17</v>
      </c>
      <c r="B28" s="138">
        <v>0.6</v>
      </c>
      <c r="C28" s="143">
        <v>2.6451121293488119E-3</v>
      </c>
      <c r="D28" s="144">
        <f t="shared" si="0"/>
        <v>0</v>
      </c>
      <c r="E28" s="138"/>
      <c r="F28" s="144">
        <f t="shared" si="2"/>
        <v>1355</v>
      </c>
    </row>
    <row r="29" spans="1:6" s="15" customFormat="1" ht="11.25" x14ac:dyDescent="0.2">
      <c r="A29" s="142">
        <f t="shared" si="1"/>
        <v>18</v>
      </c>
      <c r="B29" s="138">
        <v>0.6</v>
      </c>
      <c r="C29" s="143">
        <v>2.6451121293488119E-3</v>
      </c>
      <c r="D29" s="144">
        <f t="shared" si="0"/>
        <v>0</v>
      </c>
      <c r="E29" s="138"/>
      <c r="F29" s="144">
        <f t="shared" si="2"/>
        <v>1355</v>
      </c>
    </row>
    <row r="30" spans="1:6" s="15" customFormat="1" ht="11.25" x14ac:dyDescent="0.2">
      <c r="A30" s="142">
        <f t="shared" si="1"/>
        <v>19</v>
      </c>
      <c r="B30" s="138">
        <v>0.6</v>
      </c>
      <c r="C30" s="143">
        <v>2.6451121293488119E-3</v>
      </c>
      <c r="D30" s="144">
        <f t="shared" si="0"/>
        <v>0</v>
      </c>
      <c r="E30" s="138"/>
      <c r="F30" s="144">
        <f t="shared" si="2"/>
        <v>1355</v>
      </c>
    </row>
    <row r="31" spans="1:6" s="15" customFormat="1" ht="11.25" x14ac:dyDescent="0.2">
      <c r="A31" s="142">
        <f t="shared" si="1"/>
        <v>20</v>
      </c>
      <c r="B31" s="138">
        <v>0.6</v>
      </c>
      <c r="C31" s="143">
        <v>2.6451121293488119E-3</v>
      </c>
      <c r="D31" s="144">
        <f t="shared" si="0"/>
        <v>0</v>
      </c>
      <c r="E31" s="138"/>
      <c r="F31" s="144">
        <f t="shared" si="2"/>
        <v>1355</v>
      </c>
    </row>
    <row r="32" spans="1:6" s="15" customFormat="1" ht="11.25" x14ac:dyDescent="0.2">
      <c r="A32" s="142">
        <f t="shared" si="1"/>
        <v>21</v>
      </c>
      <c r="B32" s="138">
        <v>0.6</v>
      </c>
      <c r="C32" s="143">
        <v>2.6451121293488119E-3</v>
      </c>
      <c r="D32" s="144">
        <f t="shared" si="0"/>
        <v>0</v>
      </c>
      <c r="E32" s="138"/>
      <c r="F32" s="144">
        <f t="shared" si="2"/>
        <v>1355</v>
      </c>
    </row>
    <row r="33" spans="1:6" s="15" customFormat="1" ht="11.25" x14ac:dyDescent="0.2">
      <c r="A33" s="142">
        <f t="shared" si="1"/>
        <v>22</v>
      </c>
      <c r="B33" s="138">
        <v>0.6</v>
      </c>
      <c r="C33" s="143">
        <v>2.6451121293488119E-3</v>
      </c>
      <c r="D33" s="144">
        <f t="shared" si="0"/>
        <v>0</v>
      </c>
      <c r="E33" s="138"/>
      <c r="F33" s="144">
        <f t="shared" si="2"/>
        <v>1355</v>
      </c>
    </row>
    <row r="34" spans="1:6" s="15" customFormat="1" ht="11.25" x14ac:dyDescent="0.2">
      <c r="A34" s="142">
        <f t="shared" si="1"/>
        <v>23</v>
      </c>
      <c r="B34" s="138">
        <v>0.6</v>
      </c>
      <c r="C34" s="143">
        <v>2.6451121293488119E-3</v>
      </c>
      <c r="D34" s="144">
        <f t="shared" si="0"/>
        <v>0</v>
      </c>
      <c r="E34" s="138"/>
      <c r="F34" s="144">
        <f t="shared" si="2"/>
        <v>1355</v>
      </c>
    </row>
    <row r="35" spans="1:6" s="15" customFormat="1" ht="11.25" x14ac:dyDescent="0.2">
      <c r="A35" s="142">
        <f t="shared" si="1"/>
        <v>24</v>
      </c>
      <c r="B35" s="138">
        <v>0.6</v>
      </c>
      <c r="C35" s="143">
        <v>2.6451121293488119E-3</v>
      </c>
      <c r="D35" s="144">
        <f t="shared" si="0"/>
        <v>0</v>
      </c>
      <c r="E35" s="138"/>
      <c r="F35" s="144">
        <f t="shared" si="2"/>
        <v>1355</v>
      </c>
    </row>
    <row r="36" spans="1:6" s="15" customFormat="1" ht="11.25" x14ac:dyDescent="0.2">
      <c r="A36" s="142">
        <f t="shared" si="1"/>
        <v>25</v>
      </c>
      <c r="B36" s="138">
        <v>0.6</v>
      </c>
      <c r="C36" s="143">
        <v>2.6451121293488119E-3</v>
      </c>
      <c r="D36" s="144">
        <f t="shared" si="0"/>
        <v>0</v>
      </c>
      <c r="E36" s="138"/>
      <c r="F36" s="144">
        <f t="shared" si="2"/>
        <v>1355</v>
      </c>
    </row>
    <row r="37" spans="1:6" s="15" customFormat="1" ht="11.25" x14ac:dyDescent="0.2">
      <c r="A37" s="142">
        <f t="shared" si="1"/>
        <v>26</v>
      </c>
      <c r="B37" s="138">
        <v>0.6</v>
      </c>
      <c r="C37" s="143">
        <v>2.6451121293488119E-3</v>
      </c>
      <c r="D37" s="144">
        <f t="shared" si="0"/>
        <v>0</v>
      </c>
      <c r="E37" s="138"/>
      <c r="F37" s="144">
        <f t="shared" si="2"/>
        <v>1355</v>
      </c>
    </row>
    <row r="38" spans="1:6" s="15" customFormat="1" ht="11.25" x14ac:dyDescent="0.2">
      <c r="A38" s="142">
        <f t="shared" si="1"/>
        <v>27</v>
      </c>
      <c r="B38" s="138">
        <v>0.6</v>
      </c>
      <c r="C38" s="143">
        <v>2.6451121293488119E-3</v>
      </c>
      <c r="D38" s="144">
        <f t="shared" si="0"/>
        <v>0</v>
      </c>
      <c r="E38" s="138"/>
      <c r="F38" s="144">
        <f t="shared" si="2"/>
        <v>1355</v>
      </c>
    </row>
    <row r="39" spans="1:6" s="15" customFormat="1" ht="11.25" x14ac:dyDescent="0.2">
      <c r="A39" s="142">
        <f t="shared" si="1"/>
        <v>28</v>
      </c>
      <c r="B39" s="138">
        <v>0.6</v>
      </c>
      <c r="C39" s="143">
        <v>2.6451121293488119E-3</v>
      </c>
      <c r="D39" s="144">
        <f t="shared" si="0"/>
        <v>0</v>
      </c>
      <c r="E39" s="138"/>
      <c r="F39" s="144">
        <f t="shared" si="2"/>
        <v>1355</v>
      </c>
    </row>
    <row r="40" spans="1:6" s="15" customFormat="1" ht="11.25" x14ac:dyDescent="0.2">
      <c r="A40" s="142">
        <f t="shared" si="1"/>
        <v>29</v>
      </c>
      <c r="B40" s="138">
        <v>0.6</v>
      </c>
      <c r="C40" s="143">
        <v>2.6451121293488119E-3</v>
      </c>
      <c r="D40" s="144">
        <f t="shared" si="0"/>
        <v>0</v>
      </c>
      <c r="E40" s="138"/>
      <c r="F40" s="144">
        <f t="shared" si="2"/>
        <v>1355</v>
      </c>
    </row>
    <row r="41" spans="1:6" s="15" customFormat="1" ht="11.25" x14ac:dyDescent="0.2">
      <c r="A41" s="142">
        <f t="shared" si="1"/>
        <v>30</v>
      </c>
      <c r="B41" s="138">
        <v>0.6</v>
      </c>
      <c r="C41" s="143">
        <v>2.6451121293488119E-3</v>
      </c>
      <c r="D41" s="144">
        <f t="shared" si="0"/>
        <v>0</v>
      </c>
      <c r="E41" s="138"/>
      <c r="F41" s="144">
        <f t="shared" si="2"/>
        <v>1355</v>
      </c>
    </row>
    <row r="42" spans="1:6" s="15" customFormat="1" ht="11.25" x14ac:dyDescent="0.2">
      <c r="A42" s="142">
        <f t="shared" si="1"/>
        <v>31</v>
      </c>
      <c r="B42" s="138"/>
      <c r="C42" s="143"/>
      <c r="D42" s="144"/>
      <c r="E42" s="138"/>
      <c r="F42" s="144">
        <f>F6</f>
        <v>1355</v>
      </c>
    </row>
    <row r="43" spans="1:6" s="15" customFormat="1" ht="11.25" x14ac:dyDescent="0.2">
      <c r="A43" s="6"/>
      <c r="C43" s="9"/>
      <c r="D43" s="9"/>
    </row>
    <row r="44" spans="1:6" s="15" customFormat="1" ht="11.25" x14ac:dyDescent="0.2">
      <c r="A44" s="6"/>
      <c r="C44" s="9"/>
      <c r="D44" s="9"/>
      <c r="F44" s="9"/>
    </row>
    <row r="45" spans="1:6" s="15" customFormat="1" ht="11.25" x14ac:dyDescent="0.2">
      <c r="A45" s="6"/>
      <c r="C45" s="9"/>
      <c r="D45" s="9"/>
      <c r="F45" s="9"/>
    </row>
    <row r="46" spans="1:6" s="15" customFormat="1" ht="11.25" x14ac:dyDescent="0.2">
      <c r="A46" s="6"/>
      <c r="C46" s="9"/>
      <c r="D46" s="9"/>
      <c r="F46" s="9"/>
    </row>
    <row r="47" spans="1:6" s="15" customFormat="1" ht="11.25" x14ac:dyDescent="0.2"/>
    <row r="48" spans="1:6" s="15" customFormat="1" ht="11.25" x14ac:dyDescent="0.2">
      <c r="A48" s="6"/>
      <c r="C48" s="9"/>
      <c r="D48" s="9"/>
      <c r="F48" s="9"/>
    </row>
    <row r="49" spans="1:9" s="15" customFormat="1" ht="11.25" x14ac:dyDescent="0.2"/>
    <row r="50" spans="1:9" s="15" customFormat="1" ht="11.25" x14ac:dyDescent="0.2"/>
    <row r="51" spans="1:9" s="15" customFormat="1" ht="11.25" x14ac:dyDescent="0.2">
      <c r="A51" s="133">
        <v>0</v>
      </c>
      <c r="B51" s="134"/>
      <c r="C51" s="135"/>
      <c r="D51" s="134"/>
      <c r="E51" s="134"/>
      <c r="F51" s="136">
        <v>726.00302696454457</v>
      </c>
      <c r="G51" s="134"/>
      <c r="H51" s="134"/>
      <c r="I51" s="137">
        <v>37.54370464075366</v>
      </c>
    </row>
    <row r="52" spans="1:9" s="15" customFormat="1" ht="11.25" x14ac:dyDescent="0.2">
      <c r="A52" s="133">
        <v>2</v>
      </c>
      <c r="B52" s="134"/>
      <c r="C52" s="135"/>
      <c r="D52" s="134"/>
      <c r="E52" s="134"/>
      <c r="F52" s="136">
        <v>903.67089028822886</v>
      </c>
      <c r="G52" s="134"/>
      <c r="H52" s="134"/>
      <c r="I52" s="137">
        <v>45.144601512875283</v>
      </c>
    </row>
    <row r="53" spans="1:9" s="15" customFormat="1" ht="11.25" x14ac:dyDescent="0.2">
      <c r="A53" s="133">
        <v>4.5</v>
      </c>
      <c r="B53" s="134"/>
      <c r="C53" s="135"/>
      <c r="D53" s="134"/>
      <c r="E53" s="134"/>
      <c r="F53" s="136">
        <v>1057.4795369325016</v>
      </c>
      <c r="G53" s="134"/>
      <c r="H53" s="134"/>
      <c r="I53" s="137">
        <v>56.196982705050878</v>
      </c>
    </row>
    <row r="54" spans="1:9" s="15" customFormat="1" ht="11.25" x14ac:dyDescent="0.2">
      <c r="A54" s="133">
        <v>7</v>
      </c>
      <c r="B54" s="134"/>
      <c r="C54" s="135"/>
      <c r="D54" s="134"/>
      <c r="E54" s="134"/>
      <c r="F54" s="136">
        <v>1199.1460774024233</v>
      </c>
      <c r="G54" s="134"/>
      <c r="H54" s="134"/>
      <c r="I54" s="137">
        <v>63.770273440950852</v>
      </c>
    </row>
    <row r="55" spans="1:9" s="15" customFormat="1" ht="11.25" x14ac:dyDescent="0.2">
      <c r="A55" s="133">
        <v>10</v>
      </c>
      <c r="B55" s="134"/>
      <c r="C55" s="137"/>
      <c r="D55" s="134"/>
      <c r="E55" s="134"/>
      <c r="F55" s="136">
        <v>1314.6131206058142</v>
      </c>
      <c r="G55" s="134"/>
      <c r="H55" s="134"/>
      <c r="I55" s="137">
        <v>69.663900454164718</v>
      </c>
    </row>
    <row r="56" spans="1:9" s="15" customFormat="1" ht="11.25" x14ac:dyDescent="0.2">
      <c r="A56" s="133">
        <v>13</v>
      </c>
      <c r="B56" s="134"/>
      <c r="C56" s="137"/>
      <c r="D56" s="134"/>
      <c r="E56" s="134"/>
      <c r="F56" s="136">
        <v>1356.7665338559805</v>
      </c>
      <c r="G56" s="134"/>
      <c r="H56" s="134"/>
      <c r="I56" s="137">
        <v>70.706641835430517</v>
      </c>
    </row>
    <row r="57" spans="1:9" s="15" customFormat="1" ht="11.25" x14ac:dyDescent="0.2">
      <c r="A57" s="133">
        <v>16.5</v>
      </c>
      <c r="B57" s="134"/>
      <c r="C57" s="137"/>
      <c r="D57" s="134"/>
      <c r="E57" s="134"/>
      <c r="F57" s="136">
        <v>1359.0202503149887</v>
      </c>
      <c r="G57" s="134"/>
      <c r="H57" s="134"/>
      <c r="I57" s="137">
        <v>70.619203941263635</v>
      </c>
    </row>
    <row r="58" spans="1:9" s="15" customFormat="1" ht="11.25" x14ac:dyDescent="0.2">
      <c r="A58" s="133">
        <v>20</v>
      </c>
      <c r="B58" s="134"/>
      <c r="C58" s="137"/>
      <c r="D58" s="134"/>
      <c r="E58" s="134"/>
      <c r="F58" s="136">
        <v>1356.4448003021653</v>
      </c>
      <c r="G58" s="134"/>
      <c r="H58" s="134"/>
      <c r="I58" s="137">
        <v>70.354292342569863</v>
      </c>
    </row>
    <row r="59" spans="1:9" s="15" customFormat="1" ht="11.25" x14ac:dyDescent="0.2">
      <c r="A59" s="133">
        <v>23.5</v>
      </c>
      <c r="B59" s="134"/>
      <c r="C59" s="137"/>
      <c r="D59" s="134"/>
      <c r="E59" s="134"/>
      <c r="F59" s="136">
        <v>1349.4542574907853</v>
      </c>
      <c r="G59" s="134"/>
      <c r="H59" s="134"/>
      <c r="I59" s="137">
        <v>70.4045630852589</v>
      </c>
    </row>
    <row r="60" spans="1:9" s="15" customFormat="1" ht="11.25" x14ac:dyDescent="0.2">
      <c r="A60" s="133">
        <v>27</v>
      </c>
      <c r="B60" s="134"/>
      <c r="C60" s="134"/>
      <c r="D60" s="134"/>
      <c r="E60" s="134"/>
      <c r="F60" s="136">
        <v>1349.7099265008114</v>
      </c>
      <c r="G60" s="134"/>
      <c r="H60" s="134"/>
      <c r="I60" s="137">
        <v>70.314174210170336</v>
      </c>
    </row>
    <row r="61" spans="1:9" s="15" customFormat="1" ht="11.25" x14ac:dyDescent="0.2">
      <c r="A61" s="133">
        <v>30.5</v>
      </c>
      <c r="B61" s="134"/>
      <c r="C61" s="134"/>
      <c r="D61" s="134"/>
      <c r="E61" s="134"/>
      <c r="F61" s="136">
        <v>1321.791168077089</v>
      </c>
      <c r="G61" s="134"/>
      <c r="H61" s="134"/>
      <c r="I61" s="137">
        <v>68.35010777142864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areimer</dc:creator>
  <cp:lastModifiedBy>Dario</cp:lastModifiedBy>
  <dcterms:created xsi:type="dcterms:W3CDTF">2021-11-16T11:53:08Z</dcterms:created>
  <dcterms:modified xsi:type="dcterms:W3CDTF">2021-12-22T11:09:22Z</dcterms:modified>
</cp:coreProperties>
</file>